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MAYIS\WEBSITE\"/>
    </mc:Choice>
  </mc:AlternateContent>
  <xr:revisionPtr revIDLastSave="0" documentId="13_ncr:1_{A23232B0-3750-49BD-AFFB-B3D42EB3A419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TREDAŞ" sheetId="8" r:id="rId1"/>
    <sheet name="EDİRNE" sheetId="56" r:id="rId2"/>
    <sheet name="KIRKLARELİ" sheetId="60" r:id="rId3"/>
    <sheet name="TEKİRDAĞ" sheetId="61" r:id="rId4"/>
    <sheet name="VİZE" sheetId="63" r:id="rId5"/>
    <sheet name="KIRKLARELİ MERKEZ" sheetId="58" r:id="rId6"/>
    <sheet name="KOFÇAZ" sheetId="62" r:id="rId7"/>
    <sheet name="PINARHİSAR" sheetId="64" r:id="rId8"/>
    <sheet name="DEMİRKÖY" sheetId="65" r:id="rId9"/>
    <sheet name="BABAESKİ" sheetId="67" r:id="rId10"/>
    <sheet name="PEHLİVANKÖY" sheetId="69" r:id="rId11"/>
    <sheet name="LÜLEBURGAZ" sheetId="70" r:id="rId12"/>
    <sheet name="EDİRNE MERKEZ" sheetId="71" r:id="rId13"/>
    <sheet name="HAVSA" sheetId="72" r:id="rId14"/>
    <sheet name="SÜLOĞLU" sheetId="68" r:id="rId15"/>
    <sheet name="LALAPAŞA" sheetId="66" r:id="rId16"/>
    <sheet name="KEŞAN" sheetId="73" r:id="rId17"/>
    <sheet name="ENEZ" sheetId="74" r:id="rId18"/>
    <sheet name="İPSALA" sheetId="75" r:id="rId19"/>
    <sheet name="UZUNKÖPRÜ" sheetId="78" r:id="rId20"/>
    <sheet name="MERİÇ" sheetId="79" r:id="rId21"/>
    <sheet name="SÜLEYMANPAŞA" sheetId="76" r:id="rId22"/>
    <sheet name="MURATLI" sheetId="77" r:id="rId23"/>
    <sheet name="ÇORLU" sheetId="80" r:id="rId24"/>
    <sheet name="ÇERKEZKÖY" sheetId="81" r:id="rId25"/>
    <sheet name="SARAY" sheetId="82" r:id="rId26"/>
    <sheet name="HAYRABOLU" sheetId="83" r:id="rId27"/>
    <sheet name="MARMARAEREĞLİSİ" sheetId="84" r:id="rId28"/>
    <sheet name="ŞARKÖY" sheetId="85" r:id="rId29"/>
    <sheet name="MALKARA" sheetId="86" r:id="rId30"/>
    <sheet name="KAPAKLI" sheetId="87" r:id="rId31"/>
    <sheet name="ERGENE" sheetId="88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88" l="1"/>
  <c r="K35" i="88"/>
  <c r="K32" i="88"/>
  <c r="K39" i="87"/>
  <c r="K35" i="87"/>
  <c r="K32" i="87"/>
  <c r="K39" i="86"/>
  <c r="K35" i="86"/>
  <c r="K32" i="86"/>
  <c r="K39" i="85"/>
  <c r="K35" i="85"/>
  <c r="K32" i="85"/>
  <c r="K39" i="84"/>
  <c r="K35" i="84"/>
  <c r="K32" i="84"/>
  <c r="K39" i="83"/>
  <c r="K35" i="83"/>
  <c r="K32" i="83"/>
  <c r="K39" i="82"/>
  <c r="K35" i="82"/>
  <c r="K32" i="82"/>
  <c r="K39" i="81"/>
  <c r="K35" i="81"/>
  <c r="K32" i="81"/>
  <c r="K39" i="80"/>
  <c r="K35" i="80"/>
  <c r="K32" i="80"/>
  <c r="K39" i="77"/>
  <c r="K35" i="77"/>
  <c r="K32" i="77"/>
  <c r="K39" i="76"/>
  <c r="K35" i="76"/>
  <c r="K32" i="76"/>
  <c r="K39" i="79"/>
  <c r="K35" i="79"/>
  <c r="K32" i="79"/>
  <c r="K39" i="78"/>
  <c r="K35" i="78"/>
  <c r="K32" i="78"/>
  <c r="K39" i="75"/>
  <c r="K35" i="75"/>
  <c r="K32" i="75"/>
  <c r="K39" i="74"/>
  <c r="K35" i="74"/>
  <c r="K32" i="74"/>
  <c r="K39" i="73"/>
  <c r="K35" i="73"/>
  <c r="K32" i="73"/>
  <c r="K39" i="66"/>
  <c r="K35" i="66"/>
  <c r="K32" i="66"/>
  <c r="K39" i="68"/>
  <c r="K35" i="68"/>
  <c r="K32" i="68"/>
  <c r="K39" i="72"/>
  <c r="K35" i="72"/>
  <c r="K32" i="72"/>
  <c r="K39" i="71"/>
  <c r="K35" i="71"/>
  <c r="K32" i="71"/>
  <c r="K39" i="70"/>
  <c r="K35" i="70"/>
  <c r="K32" i="70"/>
  <c r="K39" i="69"/>
  <c r="K35" i="69"/>
  <c r="K32" i="69"/>
  <c r="K39" i="67"/>
  <c r="K35" i="67"/>
  <c r="K32" i="67"/>
  <c r="K39" i="65"/>
  <c r="K35" i="65"/>
  <c r="K32" i="65"/>
  <c r="K39" i="64"/>
  <c r="K35" i="64"/>
  <c r="K32" i="64"/>
  <c r="K39" i="62"/>
  <c r="K35" i="62"/>
  <c r="K32" i="62"/>
  <c r="K39" i="58"/>
  <c r="K35" i="58"/>
  <c r="K32" i="58"/>
  <c r="K39" i="63"/>
  <c r="K35" i="63"/>
  <c r="K32" i="63"/>
  <c r="K39" i="61"/>
  <c r="K35" i="61"/>
  <c r="K32" i="61"/>
  <c r="K39" i="60"/>
  <c r="K35" i="60"/>
  <c r="K32" i="60"/>
  <c r="K39" i="56"/>
  <c r="K35" i="56"/>
  <c r="K32" i="56"/>
  <c r="K39" i="8"/>
  <c r="K35" i="8"/>
  <c r="K32" i="8"/>
  <c r="D7" i="76"/>
  <c r="D7" i="61"/>
  <c r="P15" i="74" l="1"/>
  <c r="D58" i="88" l="1"/>
  <c r="D58" i="87"/>
  <c r="D58" i="86"/>
  <c r="D58" i="85"/>
  <c r="D58" i="84"/>
  <c r="D58" i="83"/>
  <c r="D58" i="82"/>
  <c r="D58" i="81"/>
  <c r="D58" i="80"/>
  <c r="D58" i="77"/>
  <c r="D58" i="76"/>
  <c r="D58" i="79"/>
  <c r="D58" i="78"/>
  <c r="D58" i="75"/>
  <c r="D58" i="74"/>
  <c r="D58" i="73"/>
  <c r="D58" i="66"/>
  <c r="D58" i="68"/>
  <c r="D58" i="72"/>
  <c r="D58" i="71"/>
  <c r="D58" i="70"/>
  <c r="D58" i="69"/>
  <c r="D58" i="67"/>
  <c r="D58" i="65"/>
  <c r="D58" i="64"/>
  <c r="D58" i="63"/>
  <c r="D58" i="62"/>
  <c r="D58" i="58"/>
  <c r="J58" i="88" l="1"/>
  <c r="I58" i="88"/>
  <c r="G58" i="88"/>
  <c r="F58" i="88"/>
  <c r="C58" i="88"/>
  <c r="J58" i="87"/>
  <c r="I58" i="87"/>
  <c r="G58" i="87"/>
  <c r="F58" i="87"/>
  <c r="C58" i="87"/>
  <c r="J58" i="86"/>
  <c r="I58" i="86"/>
  <c r="G58" i="86"/>
  <c r="F58" i="86"/>
  <c r="C58" i="86"/>
  <c r="J58" i="85"/>
  <c r="I58" i="85"/>
  <c r="G58" i="85"/>
  <c r="F58" i="85"/>
  <c r="C58" i="85"/>
  <c r="J58" i="84"/>
  <c r="I58" i="84"/>
  <c r="G58" i="84"/>
  <c r="F58" i="84"/>
  <c r="C58" i="84"/>
  <c r="J58" i="83"/>
  <c r="I58" i="83"/>
  <c r="G58" i="83"/>
  <c r="F58" i="83"/>
  <c r="C58" i="83"/>
  <c r="J58" i="82"/>
  <c r="I58" i="82"/>
  <c r="G58" i="82"/>
  <c r="F58" i="82"/>
  <c r="C58" i="82"/>
  <c r="J58" i="81"/>
  <c r="I58" i="81"/>
  <c r="G58" i="81"/>
  <c r="F58" i="81"/>
  <c r="C58" i="81"/>
  <c r="J58" i="80"/>
  <c r="I58" i="80"/>
  <c r="G58" i="80"/>
  <c r="F58" i="80"/>
  <c r="C58" i="80"/>
  <c r="J58" i="77"/>
  <c r="I58" i="77"/>
  <c r="G58" i="77"/>
  <c r="F58" i="77"/>
  <c r="C58" i="77"/>
  <c r="J58" i="76"/>
  <c r="I58" i="76"/>
  <c r="G58" i="76"/>
  <c r="F58" i="76"/>
  <c r="C58" i="76"/>
  <c r="J58" i="79"/>
  <c r="I58" i="79"/>
  <c r="G58" i="79"/>
  <c r="F58" i="79"/>
  <c r="C58" i="79"/>
  <c r="J58" i="78"/>
  <c r="I58" i="78"/>
  <c r="G58" i="78"/>
  <c r="F58" i="78"/>
  <c r="C58" i="78"/>
  <c r="J58" i="75"/>
  <c r="I58" i="75"/>
  <c r="G58" i="75"/>
  <c r="F58" i="75"/>
  <c r="C58" i="75"/>
  <c r="J58" i="74"/>
  <c r="I58" i="74"/>
  <c r="G58" i="74"/>
  <c r="F58" i="74"/>
  <c r="C58" i="74"/>
  <c r="J58" i="73"/>
  <c r="I58" i="73"/>
  <c r="G58" i="73"/>
  <c r="F58" i="73"/>
  <c r="C58" i="73"/>
  <c r="J58" i="66"/>
  <c r="I58" i="66"/>
  <c r="G58" i="66"/>
  <c r="F58" i="66"/>
  <c r="C58" i="66"/>
  <c r="J58" i="68"/>
  <c r="I58" i="68"/>
  <c r="G58" i="68"/>
  <c r="F58" i="68"/>
  <c r="C58" i="68"/>
  <c r="J58" i="72"/>
  <c r="I58" i="72"/>
  <c r="G58" i="72"/>
  <c r="F58" i="72"/>
  <c r="C58" i="72"/>
  <c r="J58" i="71"/>
  <c r="I58" i="71"/>
  <c r="G58" i="71"/>
  <c r="F58" i="71"/>
  <c r="C58" i="71"/>
  <c r="J58" i="70"/>
  <c r="I58" i="70"/>
  <c r="G58" i="70"/>
  <c r="F58" i="70"/>
  <c r="C58" i="70"/>
  <c r="J58" i="69"/>
  <c r="I58" i="69"/>
  <c r="G58" i="69"/>
  <c r="F58" i="69"/>
  <c r="C58" i="69"/>
  <c r="J58" i="67"/>
  <c r="I58" i="67"/>
  <c r="G58" i="67"/>
  <c r="F58" i="67"/>
  <c r="C58" i="67"/>
  <c r="J58" i="65"/>
  <c r="I58" i="65"/>
  <c r="G58" i="65"/>
  <c r="F58" i="65"/>
  <c r="C58" i="65"/>
  <c r="J58" i="64"/>
  <c r="I58" i="64"/>
  <c r="G58" i="64"/>
  <c r="F58" i="64"/>
  <c r="C58" i="64"/>
  <c r="J58" i="63"/>
  <c r="I58" i="63"/>
  <c r="G58" i="63"/>
  <c r="F58" i="63"/>
  <c r="C58" i="63"/>
  <c r="J58" i="58"/>
  <c r="I58" i="58"/>
  <c r="G58" i="58"/>
  <c r="F58" i="58"/>
  <c r="C58" i="58"/>
  <c r="J58" i="62"/>
  <c r="I58" i="62"/>
  <c r="G58" i="62"/>
  <c r="F58" i="62"/>
  <c r="C58" i="62"/>
  <c r="J58" i="61"/>
  <c r="I58" i="61"/>
  <c r="G58" i="61"/>
  <c r="F58" i="61"/>
  <c r="D58" i="61"/>
  <c r="C58" i="61"/>
  <c r="C58" i="60"/>
  <c r="J58" i="60"/>
  <c r="I58" i="60"/>
  <c r="G58" i="60"/>
  <c r="F58" i="60"/>
  <c r="D58" i="60"/>
  <c r="J58" i="8"/>
  <c r="I58" i="8"/>
  <c r="G58" i="8"/>
  <c r="F58" i="8"/>
  <c r="D58" i="8"/>
  <c r="C58" i="8"/>
  <c r="C57" i="8"/>
  <c r="J58" i="56"/>
  <c r="I58" i="56"/>
  <c r="G58" i="56"/>
  <c r="F58" i="56"/>
  <c r="D58" i="56"/>
  <c r="C58" i="56"/>
  <c r="C57" i="56"/>
  <c r="C56" i="56"/>
  <c r="C59" i="56" l="1"/>
  <c r="G9" i="73" l="1"/>
  <c r="K9" i="73"/>
  <c r="G9" i="82"/>
  <c r="K9" i="87"/>
  <c r="G9" i="83"/>
  <c r="G9" i="58"/>
  <c r="K9" i="86"/>
  <c r="J9" i="86"/>
  <c r="G9" i="86"/>
  <c r="K9" i="85"/>
  <c r="J9" i="85"/>
  <c r="G9" i="85"/>
  <c r="K9" i="84"/>
  <c r="J9" i="84"/>
  <c r="G9" i="84"/>
  <c r="K9" i="83"/>
  <c r="J9" i="83"/>
  <c r="K9" i="82"/>
  <c r="J9" i="82"/>
  <c r="K9" i="80"/>
  <c r="J9" i="80"/>
  <c r="G9" i="80"/>
  <c r="K9" i="77"/>
  <c r="J9" i="77"/>
  <c r="G9" i="77"/>
  <c r="K9" i="76"/>
  <c r="J9" i="76"/>
  <c r="G9" i="76"/>
  <c r="K9" i="79"/>
  <c r="J9" i="79"/>
  <c r="G9" i="79"/>
  <c r="K9" i="78"/>
  <c r="J9" i="78"/>
  <c r="G9" i="78"/>
  <c r="K9" i="75"/>
  <c r="J9" i="75"/>
  <c r="G9" i="75"/>
  <c r="K9" i="74"/>
  <c r="J9" i="74"/>
  <c r="G9" i="74"/>
  <c r="J9" i="73"/>
  <c r="K9" i="66"/>
  <c r="J9" i="66"/>
  <c r="G9" i="66"/>
  <c r="K9" i="68"/>
  <c r="J9" i="68"/>
  <c r="G9" i="68"/>
  <c r="K9" i="72"/>
  <c r="J9" i="72"/>
  <c r="G9" i="72"/>
  <c r="K9" i="71"/>
  <c r="J9" i="71"/>
  <c r="G9" i="71"/>
  <c r="K9" i="70"/>
  <c r="J9" i="70"/>
  <c r="G9" i="70"/>
  <c r="K9" i="69"/>
  <c r="J9" i="69"/>
  <c r="G9" i="69"/>
  <c r="K9" i="67"/>
  <c r="J9" i="67"/>
  <c r="G9" i="67"/>
  <c r="K9" i="65"/>
  <c r="J9" i="65"/>
  <c r="G9" i="65"/>
  <c r="K9" i="64"/>
  <c r="J9" i="64"/>
  <c r="G9" i="64"/>
  <c r="K9" i="63"/>
  <c r="J9" i="63"/>
  <c r="G9" i="63"/>
  <c r="K9" i="62"/>
  <c r="J9" i="62"/>
  <c r="G9" i="62"/>
  <c r="K9" i="58"/>
  <c r="J9" i="58"/>
  <c r="J9" i="61"/>
  <c r="G9" i="61"/>
  <c r="K9" i="60"/>
  <c r="J9" i="60"/>
  <c r="J9" i="56"/>
  <c r="G9" i="56"/>
  <c r="J9" i="8"/>
  <c r="J65" i="88"/>
  <c r="I65" i="88"/>
  <c r="P23" i="88"/>
  <c r="K58" i="88" s="1"/>
  <c r="J65" i="87"/>
  <c r="I65" i="87"/>
  <c r="P23" i="87"/>
  <c r="K58" i="87" s="1"/>
  <c r="J65" i="86"/>
  <c r="I65" i="86"/>
  <c r="P23" i="86"/>
  <c r="K58" i="86" s="1"/>
  <c r="J65" i="85"/>
  <c r="I65" i="85"/>
  <c r="P23" i="85"/>
  <c r="K58" i="85" s="1"/>
  <c r="J65" i="84"/>
  <c r="I65" i="84"/>
  <c r="P23" i="84"/>
  <c r="K58" i="84" s="1"/>
  <c r="J65" i="83"/>
  <c r="I65" i="83"/>
  <c r="P23" i="83"/>
  <c r="K58" i="83" s="1"/>
  <c r="J65" i="82"/>
  <c r="I65" i="82"/>
  <c r="P23" i="82"/>
  <c r="K58" i="82" s="1"/>
  <c r="J65" i="81"/>
  <c r="I65" i="81"/>
  <c r="P23" i="81"/>
  <c r="K58" i="81" s="1"/>
  <c r="J65" i="80"/>
  <c r="I65" i="80"/>
  <c r="P23" i="80"/>
  <c r="K58" i="80" s="1"/>
  <c r="J65" i="77"/>
  <c r="I65" i="77"/>
  <c r="P23" i="77"/>
  <c r="K58" i="77" s="1"/>
  <c r="J65" i="76"/>
  <c r="I65" i="76"/>
  <c r="P23" i="76"/>
  <c r="K58" i="76" s="1"/>
  <c r="J9" i="88" l="1"/>
  <c r="K9" i="88"/>
  <c r="G9" i="88"/>
  <c r="J9" i="87"/>
  <c r="G9" i="87"/>
  <c r="K9" i="81"/>
  <c r="G9" i="60"/>
  <c r="K9" i="8"/>
  <c r="J9" i="81"/>
  <c r="G9" i="81"/>
  <c r="K9" i="56"/>
  <c r="K9" i="61"/>
  <c r="G9" i="8"/>
  <c r="J65" i="79"/>
  <c r="I65" i="79"/>
  <c r="P23" i="79"/>
  <c r="K58" i="79" s="1"/>
  <c r="J65" i="78"/>
  <c r="I65" i="78"/>
  <c r="P23" i="78"/>
  <c r="K58" i="78" s="1"/>
  <c r="J65" i="75"/>
  <c r="I65" i="75"/>
  <c r="P23" i="75"/>
  <c r="K58" i="75" s="1"/>
  <c r="J65" i="74"/>
  <c r="I65" i="74"/>
  <c r="P23" i="74"/>
  <c r="K58" i="74" s="1"/>
  <c r="J65" i="73"/>
  <c r="I65" i="73"/>
  <c r="P23" i="73"/>
  <c r="K58" i="73" s="1"/>
  <c r="J65" i="66"/>
  <c r="I65" i="66"/>
  <c r="P23" i="66"/>
  <c r="K58" i="66" s="1"/>
  <c r="J65" i="68"/>
  <c r="I65" i="68"/>
  <c r="P23" i="68"/>
  <c r="K58" i="68" s="1"/>
  <c r="J65" i="72"/>
  <c r="I65" i="72"/>
  <c r="P23" i="72"/>
  <c r="K58" i="72" s="1"/>
  <c r="J65" i="71"/>
  <c r="I65" i="71"/>
  <c r="P23" i="71"/>
  <c r="K58" i="71" s="1"/>
  <c r="J65" i="70"/>
  <c r="I65" i="70"/>
  <c r="P23" i="70"/>
  <c r="K58" i="70" s="1"/>
  <c r="J65" i="69"/>
  <c r="I65" i="69"/>
  <c r="P23" i="69"/>
  <c r="K58" i="69" s="1"/>
  <c r="J65" i="67"/>
  <c r="I65" i="67"/>
  <c r="P23" i="67"/>
  <c r="K58" i="67" s="1"/>
  <c r="J65" i="65"/>
  <c r="I65" i="65"/>
  <c r="P23" i="65"/>
  <c r="K58" i="65" s="1"/>
  <c r="J65" i="64"/>
  <c r="I65" i="64"/>
  <c r="P23" i="64"/>
  <c r="K58" i="64" s="1"/>
  <c r="J65" i="63"/>
  <c r="I65" i="63"/>
  <c r="P23" i="63"/>
  <c r="K58" i="63" s="1"/>
  <c r="J65" i="62"/>
  <c r="I65" i="62"/>
  <c r="P23" i="62"/>
  <c r="K58" i="62" s="1"/>
  <c r="J65" i="58"/>
  <c r="I65" i="58"/>
  <c r="P23" i="58"/>
  <c r="K58" i="58" s="1"/>
  <c r="J65" i="61"/>
  <c r="I65" i="61"/>
  <c r="P23" i="61"/>
  <c r="K58" i="61" s="1"/>
  <c r="J65" i="60"/>
  <c r="I65" i="60"/>
  <c r="P23" i="60"/>
  <c r="K58" i="60" s="1"/>
  <c r="J65" i="56"/>
  <c r="I65" i="56"/>
  <c r="P23" i="56"/>
  <c r="K58" i="56" s="1"/>
  <c r="J65" i="8"/>
  <c r="I65" i="8"/>
  <c r="P23" i="8"/>
  <c r="K58" i="8" s="1"/>
  <c r="J57" i="58" l="1"/>
  <c r="I57" i="58"/>
  <c r="G57" i="58"/>
  <c r="F57" i="58"/>
  <c r="D57" i="58"/>
  <c r="C57" i="58"/>
  <c r="J56" i="58"/>
  <c r="I56" i="58"/>
  <c r="G56" i="58"/>
  <c r="F56" i="58"/>
  <c r="D56" i="58"/>
  <c r="C56" i="58"/>
  <c r="K50" i="58"/>
  <c r="J50" i="58"/>
  <c r="H50" i="58"/>
  <c r="G50" i="58"/>
  <c r="E50" i="58"/>
  <c r="D50" i="58"/>
  <c r="K49" i="58"/>
  <c r="J49" i="58"/>
  <c r="H49" i="58"/>
  <c r="G49" i="58"/>
  <c r="E49" i="58"/>
  <c r="D49" i="58"/>
  <c r="K48" i="58"/>
  <c r="J48" i="58"/>
  <c r="H48" i="58"/>
  <c r="G48" i="58"/>
  <c r="E48" i="58"/>
  <c r="D48" i="58"/>
  <c r="K47" i="58"/>
  <c r="J47" i="58"/>
  <c r="H47" i="58"/>
  <c r="G47" i="58"/>
  <c r="E47" i="58"/>
  <c r="D47" i="58"/>
  <c r="K46" i="58"/>
  <c r="J46" i="58"/>
  <c r="H46" i="58"/>
  <c r="G46" i="58"/>
  <c r="E46" i="58"/>
  <c r="D46" i="58"/>
  <c r="K40" i="58"/>
  <c r="J40" i="58"/>
  <c r="H40" i="58"/>
  <c r="G40" i="58"/>
  <c r="E40" i="58"/>
  <c r="D40" i="58"/>
  <c r="J39" i="58"/>
  <c r="H39" i="58"/>
  <c r="G39" i="58"/>
  <c r="E39" i="58"/>
  <c r="D39" i="58"/>
  <c r="K38" i="58"/>
  <c r="J38" i="58"/>
  <c r="H38" i="58"/>
  <c r="G38" i="58"/>
  <c r="E38" i="58"/>
  <c r="D38" i="58"/>
  <c r="K37" i="58"/>
  <c r="J37" i="58"/>
  <c r="H37" i="58"/>
  <c r="G37" i="58"/>
  <c r="E37" i="58"/>
  <c r="D37" i="58"/>
  <c r="K36" i="58"/>
  <c r="J36" i="58"/>
  <c r="H36" i="58"/>
  <c r="G36" i="58"/>
  <c r="E36" i="58"/>
  <c r="D36" i="58"/>
  <c r="J35" i="58"/>
  <c r="H35" i="58"/>
  <c r="G35" i="58"/>
  <c r="E35" i="58"/>
  <c r="D35" i="58"/>
  <c r="K34" i="58"/>
  <c r="J34" i="58"/>
  <c r="H34" i="58"/>
  <c r="G34" i="58"/>
  <c r="E34" i="58"/>
  <c r="D34" i="58"/>
  <c r="K33" i="58"/>
  <c r="J33" i="58"/>
  <c r="H33" i="58"/>
  <c r="G33" i="58"/>
  <c r="E33" i="58"/>
  <c r="D33" i="58"/>
  <c r="J32" i="58"/>
  <c r="H32" i="58"/>
  <c r="G32" i="58"/>
  <c r="E32" i="58"/>
  <c r="D32" i="58"/>
  <c r="K31" i="58"/>
  <c r="J31" i="58"/>
  <c r="H31" i="58"/>
  <c r="G31" i="58"/>
  <c r="E31" i="58"/>
  <c r="D31" i="58"/>
  <c r="K25" i="58"/>
  <c r="J25" i="58"/>
  <c r="H25" i="58"/>
  <c r="G25" i="58"/>
  <c r="E25" i="58"/>
  <c r="D25" i="58"/>
  <c r="K24" i="58"/>
  <c r="J24" i="58"/>
  <c r="H24" i="58"/>
  <c r="G24" i="58"/>
  <c r="E24" i="58"/>
  <c r="D24" i="58"/>
  <c r="K23" i="58"/>
  <c r="J23" i="58"/>
  <c r="H23" i="58"/>
  <c r="G23" i="58"/>
  <c r="E23" i="58"/>
  <c r="D23" i="58"/>
  <c r="K22" i="58"/>
  <c r="J22" i="58"/>
  <c r="H22" i="58"/>
  <c r="G22" i="58"/>
  <c r="E22" i="58"/>
  <c r="D22" i="58"/>
  <c r="K21" i="58"/>
  <c r="J21" i="58"/>
  <c r="H21" i="58"/>
  <c r="G21" i="58"/>
  <c r="E21" i="58"/>
  <c r="D21" i="58"/>
  <c r="K15" i="58"/>
  <c r="J15" i="58"/>
  <c r="H15" i="58"/>
  <c r="G15" i="58"/>
  <c r="E15" i="58"/>
  <c r="D15" i="58"/>
  <c r="K14" i="58"/>
  <c r="J14" i="58"/>
  <c r="H14" i="58"/>
  <c r="G14" i="58"/>
  <c r="E14" i="58"/>
  <c r="D14" i="58"/>
  <c r="K13" i="58"/>
  <c r="J13" i="58"/>
  <c r="H13" i="58"/>
  <c r="G13" i="58"/>
  <c r="E13" i="58"/>
  <c r="D13" i="58"/>
  <c r="K12" i="58"/>
  <c r="J12" i="58"/>
  <c r="H12" i="58"/>
  <c r="G12" i="58"/>
  <c r="E12" i="58"/>
  <c r="D12" i="58"/>
  <c r="K11" i="58"/>
  <c r="J11" i="58"/>
  <c r="H11" i="58"/>
  <c r="G11" i="58"/>
  <c r="E11" i="58"/>
  <c r="D11" i="58"/>
  <c r="K10" i="58"/>
  <c r="J10" i="58"/>
  <c r="H10" i="58"/>
  <c r="G10" i="58"/>
  <c r="E10" i="58"/>
  <c r="D10" i="58"/>
  <c r="H9" i="58"/>
  <c r="E9" i="58"/>
  <c r="D9" i="58"/>
  <c r="K8" i="58"/>
  <c r="J8" i="58"/>
  <c r="H8" i="58"/>
  <c r="G8" i="58"/>
  <c r="E8" i="58"/>
  <c r="D8" i="58"/>
  <c r="K7" i="58"/>
  <c r="J7" i="58"/>
  <c r="H7" i="58"/>
  <c r="G7" i="58"/>
  <c r="E7" i="58"/>
  <c r="D7" i="58"/>
  <c r="K6" i="58"/>
  <c r="J6" i="58"/>
  <c r="H6" i="58"/>
  <c r="G6" i="58"/>
  <c r="E6" i="58"/>
  <c r="D6" i="58"/>
  <c r="J57" i="71"/>
  <c r="I57" i="71"/>
  <c r="G57" i="71"/>
  <c r="F57" i="71"/>
  <c r="D57" i="71"/>
  <c r="C57" i="71"/>
  <c r="J56" i="71"/>
  <c r="I56" i="71"/>
  <c r="G56" i="71"/>
  <c r="G59" i="71" s="1"/>
  <c r="F56" i="71"/>
  <c r="F59" i="71" s="1"/>
  <c r="D56" i="71"/>
  <c r="C56" i="71"/>
  <c r="K50" i="71"/>
  <c r="J50" i="71"/>
  <c r="H50" i="71"/>
  <c r="G50" i="71"/>
  <c r="E50" i="71"/>
  <c r="D50" i="71"/>
  <c r="K49" i="71"/>
  <c r="J49" i="71"/>
  <c r="H49" i="71"/>
  <c r="G49" i="71"/>
  <c r="E49" i="71"/>
  <c r="D49" i="71"/>
  <c r="K48" i="71"/>
  <c r="J48" i="71"/>
  <c r="H48" i="71"/>
  <c r="G48" i="71"/>
  <c r="E48" i="71"/>
  <c r="D48" i="71"/>
  <c r="K47" i="71"/>
  <c r="J47" i="71"/>
  <c r="H47" i="71"/>
  <c r="G47" i="71"/>
  <c r="E47" i="71"/>
  <c r="D47" i="71"/>
  <c r="K46" i="71"/>
  <c r="J46" i="71"/>
  <c r="H46" i="71"/>
  <c r="H51" i="71" s="1"/>
  <c r="G46" i="71"/>
  <c r="E46" i="71"/>
  <c r="D46" i="71"/>
  <c r="K40" i="71"/>
  <c r="J40" i="71"/>
  <c r="H40" i="71"/>
  <c r="G40" i="71"/>
  <c r="E40" i="71"/>
  <c r="D40" i="71"/>
  <c r="J39" i="71"/>
  <c r="H39" i="71"/>
  <c r="G39" i="71"/>
  <c r="E39" i="71"/>
  <c r="D39" i="71"/>
  <c r="K38" i="71"/>
  <c r="J38" i="71"/>
  <c r="H38" i="71"/>
  <c r="G38" i="71"/>
  <c r="E38" i="71"/>
  <c r="D38" i="71"/>
  <c r="K37" i="71"/>
  <c r="J37" i="71"/>
  <c r="H37" i="71"/>
  <c r="G37" i="71"/>
  <c r="E37" i="71"/>
  <c r="D37" i="71"/>
  <c r="K36" i="71"/>
  <c r="J36" i="71"/>
  <c r="H36" i="71"/>
  <c r="G36" i="71"/>
  <c r="E36" i="71"/>
  <c r="D36" i="71"/>
  <c r="J35" i="71"/>
  <c r="H35" i="71"/>
  <c r="G35" i="71"/>
  <c r="E35" i="71"/>
  <c r="D35" i="71"/>
  <c r="K34" i="71"/>
  <c r="J34" i="71"/>
  <c r="H34" i="71"/>
  <c r="G34" i="71"/>
  <c r="E34" i="71"/>
  <c r="D34" i="71"/>
  <c r="K33" i="71"/>
  <c r="J33" i="71"/>
  <c r="H33" i="71"/>
  <c r="G33" i="71"/>
  <c r="E33" i="71"/>
  <c r="D33" i="71"/>
  <c r="J32" i="71"/>
  <c r="H32" i="71"/>
  <c r="G32" i="71"/>
  <c r="E32" i="71"/>
  <c r="D32" i="71"/>
  <c r="K31" i="71"/>
  <c r="J31" i="71"/>
  <c r="H31" i="71"/>
  <c r="H41" i="71" s="1"/>
  <c r="G31" i="71"/>
  <c r="E31" i="71"/>
  <c r="D31" i="71"/>
  <c r="K25" i="71"/>
  <c r="J25" i="71"/>
  <c r="H25" i="71"/>
  <c r="G25" i="71"/>
  <c r="E25" i="71"/>
  <c r="D25" i="71"/>
  <c r="K24" i="71"/>
  <c r="J24" i="71"/>
  <c r="H24" i="71"/>
  <c r="G24" i="71"/>
  <c r="E24" i="71"/>
  <c r="D24" i="71"/>
  <c r="K23" i="71"/>
  <c r="J23" i="71"/>
  <c r="H23" i="71"/>
  <c r="G23" i="71"/>
  <c r="E23" i="71"/>
  <c r="D23" i="71"/>
  <c r="K22" i="71"/>
  <c r="J22" i="71"/>
  <c r="H22" i="71"/>
  <c r="G22" i="71"/>
  <c r="E22" i="71"/>
  <c r="D22" i="71"/>
  <c r="K21" i="71"/>
  <c r="J21" i="71"/>
  <c r="H21" i="71"/>
  <c r="H26" i="71" s="1"/>
  <c r="G21" i="71"/>
  <c r="E21" i="71"/>
  <c r="D21" i="71"/>
  <c r="K15" i="71"/>
  <c r="J15" i="71"/>
  <c r="H15" i="71"/>
  <c r="G15" i="71"/>
  <c r="E15" i="71"/>
  <c r="D15" i="71"/>
  <c r="K14" i="71"/>
  <c r="J14" i="71"/>
  <c r="H14" i="71"/>
  <c r="G14" i="71"/>
  <c r="E14" i="71"/>
  <c r="D14" i="71"/>
  <c r="K13" i="71"/>
  <c r="J13" i="71"/>
  <c r="H13" i="71"/>
  <c r="G13" i="71"/>
  <c r="E13" i="71"/>
  <c r="D13" i="71"/>
  <c r="K12" i="71"/>
  <c r="J12" i="71"/>
  <c r="H12" i="71"/>
  <c r="G12" i="71"/>
  <c r="E12" i="71"/>
  <c r="D12" i="71"/>
  <c r="K11" i="71"/>
  <c r="J11" i="71"/>
  <c r="H11" i="71"/>
  <c r="G11" i="71"/>
  <c r="E11" i="71"/>
  <c r="D11" i="71"/>
  <c r="K10" i="71"/>
  <c r="J10" i="71"/>
  <c r="H10" i="71"/>
  <c r="G10" i="71"/>
  <c r="E10" i="71"/>
  <c r="D10" i="71"/>
  <c r="H9" i="71"/>
  <c r="E9" i="71"/>
  <c r="D9" i="71"/>
  <c r="K8" i="71"/>
  <c r="J8" i="71"/>
  <c r="H8" i="71"/>
  <c r="G8" i="71"/>
  <c r="E8" i="71"/>
  <c r="D8" i="71"/>
  <c r="K7" i="71"/>
  <c r="J7" i="71"/>
  <c r="H7" i="71"/>
  <c r="G7" i="71"/>
  <c r="E7" i="71"/>
  <c r="D7" i="71"/>
  <c r="K6" i="71"/>
  <c r="J6" i="71"/>
  <c r="H6" i="71"/>
  <c r="H16" i="71" s="1"/>
  <c r="G6" i="71"/>
  <c r="E6" i="71"/>
  <c r="D6" i="71"/>
  <c r="J57" i="88"/>
  <c r="I57" i="88"/>
  <c r="G57" i="88"/>
  <c r="F57" i="88"/>
  <c r="D57" i="88"/>
  <c r="C57" i="88"/>
  <c r="J56" i="88"/>
  <c r="I56" i="88"/>
  <c r="G56" i="88"/>
  <c r="G59" i="88" s="1"/>
  <c r="F56" i="88"/>
  <c r="F59" i="88" s="1"/>
  <c r="D56" i="88"/>
  <c r="C56" i="88"/>
  <c r="K50" i="88"/>
  <c r="J50" i="88"/>
  <c r="H50" i="88"/>
  <c r="G50" i="88"/>
  <c r="E50" i="88"/>
  <c r="D50" i="88"/>
  <c r="K49" i="88"/>
  <c r="J49" i="88"/>
  <c r="H49" i="88"/>
  <c r="G49" i="88"/>
  <c r="E49" i="88"/>
  <c r="D49" i="88"/>
  <c r="K48" i="88"/>
  <c r="J48" i="88"/>
  <c r="H48" i="88"/>
  <c r="G48" i="88"/>
  <c r="E48" i="88"/>
  <c r="D48" i="88"/>
  <c r="K47" i="88"/>
  <c r="J47" i="88"/>
  <c r="H47" i="88"/>
  <c r="G47" i="88"/>
  <c r="E47" i="88"/>
  <c r="D47" i="88"/>
  <c r="K46" i="88"/>
  <c r="J46" i="88"/>
  <c r="H46" i="88"/>
  <c r="H51" i="88" s="1"/>
  <c r="G46" i="88"/>
  <c r="G51" i="88" s="1"/>
  <c r="E46" i="88"/>
  <c r="D46" i="88"/>
  <c r="K40" i="88"/>
  <c r="J40" i="88"/>
  <c r="H40" i="88"/>
  <c r="G40" i="88"/>
  <c r="E40" i="88"/>
  <c r="D40" i="88"/>
  <c r="J39" i="88"/>
  <c r="H39" i="88"/>
  <c r="G39" i="88"/>
  <c r="E39" i="88"/>
  <c r="D39" i="88"/>
  <c r="K38" i="88"/>
  <c r="J38" i="88"/>
  <c r="H38" i="88"/>
  <c r="G38" i="88"/>
  <c r="E38" i="88"/>
  <c r="D38" i="88"/>
  <c r="K37" i="88"/>
  <c r="J37" i="88"/>
  <c r="H37" i="88"/>
  <c r="G37" i="88"/>
  <c r="E37" i="88"/>
  <c r="D37" i="88"/>
  <c r="K36" i="88"/>
  <c r="J36" i="88"/>
  <c r="H36" i="88"/>
  <c r="G36" i="88"/>
  <c r="E36" i="88"/>
  <c r="D36" i="88"/>
  <c r="J35" i="88"/>
  <c r="H35" i="88"/>
  <c r="G35" i="88"/>
  <c r="E35" i="88"/>
  <c r="D35" i="88"/>
  <c r="K34" i="88"/>
  <c r="J34" i="88"/>
  <c r="H34" i="88"/>
  <c r="G34" i="88"/>
  <c r="E34" i="88"/>
  <c r="D34" i="88"/>
  <c r="K33" i="88"/>
  <c r="J33" i="88"/>
  <c r="H33" i="88"/>
  <c r="G33" i="88"/>
  <c r="E33" i="88"/>
  <c r="D33" i="88"/>
  <c r="J32" i="88"/>
  <c r="H32" i="88"/>
  <c r="G32" i="88"/>
  <c r="E32" i="88"/>
  <c r="D32" i="88"/>
  <c r="K31" i="88"/>
  <c r="J31" i="88"/>
  <c r="H31" i="88"/>
  <c r="H41" i="88" s="1"/>
  <c r="G31" i="88"/>
  <c r="G41" i="88" s="1"/>
  <c r="E31" i="88"/>
  <c r="D31" i="88"/>
  <c r="K25" i="88"/>
  <c r="J25" i="88"/>
  <c r="H25" i="88"/>
  <c r="G25" i="88"/>
  <c r="E25" i="88"/>
  <c r="D25" i="88"/>
  <c r="K24" i="88"/>
  <c r="J24" i="88"/>
  <c r="H24" i="88"/>
  <c r="G24" i="88"/>
  <c r="E24" i="88"/>
  <c r="D24" i="88"/>
  <c r="K23" i="88"/>
  <c r="J23" i="88"/>
  <c r="H23" i="88"/>
  <c r="G23" i="88"/>
  <c r="E23" i="88"/>
  <c r="D23" i="88"/>
  <c r="K22" i="88"/>
  <c r="J22" i="88"/>
  <c r="H22" i="88"/>
  <c r="G22" i="88"/>
  <c r="E22" i="88"/>
  <c r="D22" i="88"/>
  <c r="K21" i="88"/>
  <c r="J21" i="88"/>
  <c r="H21" i="88"/>
  <c r="H26" i="88" s="1"/>
  <c r="G21" i="88"/>
  <c r="E21" i="88"/>
  <c r="D21" i="88"/>
  <c r="K15" i="88"/>
  <c r="J15" i="88"/>
  <c r="H15" i="88"/>
  <c r="G15" i="88"/>
  <c r="E15" i="88"/>
  <c r="D15" i="88"/>
  <c r="K14" i="88"/>
  <c r="J14" i="88"/>
  <c r="H14" i="88"/>
  <c r="G14" i="88"/>
  <c r="E14" i="88"/>
  <c r="D14" i="88"/>
  <c r="K13" i="88"/>
  <c r="J13" i="88"/>
  <c r="H13" i="88"/>
  <c r="G13" i="88"/>
  <c r="E13" i="88"/>
  <c r="D13" i="88"/>
  <c r="K12" i="88"/>
  <c r="J12" i="88"/>
  <c r="H12" i="88"/>
  <c r="G12" i="88"/>
  <c r="E12" i="88"/>
  <c r="D12" i="88"/>
  <c r="K11" i="88"/>
  <c r="J11" i="88"/>
  <c r="H11" i="88"/>
  <c r="G11" i="88"/>
  <c r="E11" i="88"/>
  <c r="D11" i="88"/>
  <c r="K10" i="88"/>
  <c r="J10" i="88"/>
  <c r="H10" i="88"/>
  <c r="G10" i="88"/>
  <c r="E10" i="88"/>
  <c r="D10" i="88"/>
  <c r="H9" i="88"/>
  <c r="E9" i="88"/>
  <c r="D9" i="88"/>
  <c r="K7" i="88"/>
  <c r="J7" i="88"/>
  <c r="H7" i="88"/>
  <c r="G7" i="88"/>
  <c r="E7" i="88"/>
  <c r="D7" i="88"/>
  <c r="K6" i="88"/>
  <c r="J6" i="88"/>
  <c r="H6" i="88"/>
  <c r="G6" i="88"/>
  <c r="G16" i="88" s="1"/>
  <c r="E6" i="88"/>
  <c r="D6" i="88"/>
  <c r="J57" i="87"/>
  <c r="I57" i="87"/>
  <c r="G57" i="87"/>
  <c r="F57" i="87"/>
  <c r="D57" i="87"/>
  <c r="C57" i="87"/>
  <c r="J56" i="87"/>
  <c r="I56" i="87"/>
  <c r="G56" i="87"/>
  <c r="G59" i="87" s="1"/>
  <c r="F56" i="87"/>
  <c r="F59" i="87" s="1"/>
  <c r="D56" i="87"/>
  <c r="C56" i="87"/>
  <c r="K50" i="87"/>
  <c r="J50" i="87"/>
  <c r="H50" i="87"/>
  <c r="G50" i="87"/>
  <c r="E50" i="87"/>
  <c r="D50" i="87"/>
  <c r="K49" i="87"/>
  <c r="J49" i="87"/>
  <c r="H49" i="87"/>
  <c r="G49" i="87"/>
  <c r="E49" i="87"/>
  <c r="D49" i="87"/>
  <c r="K48" i="87"/>
  <c r="J48" i="87"/>
  <c r="H48" i="87"/>
  <c r="G48" i="87"/>
  <c r="E48" i="87"/>
  <c r="D48" i="87"/>
  <c r="K47" i="87"/>
  <c r="J47" i="87"/>
  <c r="H47" i="87"/>
  <c r="G47" i="87"/>
  <c r="E47" i="87"/>
  <c r="D47" i="87"/>
  <c r="K46" i="87"/>
  <c r="J46" i="87"/>
  <c r="H46" i="87"/>
  <c r="H51" i="87" s="1"/>
  <c r="G46" i="87"/>
  <c r="E46" i="87"/>
  <c r="D46" i="87"/>
  <c r="K40" i="87"/>
  <c r="J40" i="87"/>
  <c r="H40" i="87"/>
  <c r="G40" i="87"/>
  <c r="E40" i="87"/>
  <c r="D40" i="87"/>
  <c r="J39" i="87"/>
  <c r="H39" i="87"/>
  <c r="G39" i="87"/>
  <c r="E39" i="87"/>
  <c r="D39" i="87"/>
  <c r="K38" i="87"/>
  <c r="J38" i="87"/>
  <c r="H38" i="87"/>
  <c r="G38" i="87"/>
  <c r="E38" i="87"/>
  <c r="D38" i="87"/>
  <c r="K37" i="87"/>
  <c r="J37" i="87"/>
  <c r="H37" i="87"/>
  <c r="G37" i="87"/>
  <c r="E37" i="87"/>
  <c r="D37" i="87"/>
  <c r="K36" i="87"/>
  <c r="J36" i="87"/>
  <c r="H36" i="87"/>
  <c r="G36" i="87"/>
  <c r="E36" i="87"/>
  <c r="D36" i="87"/>
  <c r="J35" i="87"/>
  <c r="H35" i="87"/>
  <c r="G35" i="87"/>
  <c r="E35" i="87"/>
  <c r="D35" i="87"/>
  <c r="K34" i="87"/>
  <c r="J34" i="87"/>
  <c r="H34" i="87"/>
  <c r="G34" i="87"/>
  <c r="E34" i="87"/>
  <c r="D34" i="87"/>
  <c r="K33" i="87"/>
  <c r="J33" i="87"/>
  <c r="H33" i="87"/>
  <c r="G33" i="87"/>
  <c r="E33" i="87"/>
  <c r="D33" i="87"/>
  <c r="J32" i="87"/>
  <c r="H32" i="87"/>
  <c r="G32" i="87"/>
  <c r="E32" i="87"/>
  <c r="D32" i="87"/>
  <c r="K31" i="87"/>
  <c r="J31" i="87"/>
  <c r="H31" i="87"/>
  <c r="H41" i="87" s="1"/>
  <c r="G31" i="87"/>
  <c r="G41" i="87" s="1"/>
  <c r="E31" i="87"/>
  <c r="D31" i="87"/>
  <c r="K25" i="87"/>
  <c r="J25" i="87"/>
  <c r="H25" i="87"/>
  <c r="G25" i="87"/>
  <c r="E25" i="87"/>
  <c r="D25" i="87"/>
  <c r="K24" i="87"/>
  <c r="J24" i="87"/>
  <c r="H24" i="87"/>
  <c r="G24" i="87"/>
  <c r="E24" i="87"/>
  <c r="D24" i="87"/>
  <c r="K23" i="87"/>
  <c r="J23" i="87"/>
  <c r="H23" i="87"/>
  <c r="G23" i="87"/>
  <c r="E23" i="87"/>
  <c r="D23" i="87"/>
  <c r="K22" i="87"/>
  <c r="J22" i="87"/>
  <c r="H22" i="87"/>
  <c r="G22" i="87"/>
  <c r="E22" i="87"/>
  <c r="D22" i="87"/>
  <c r="K21" i="87"/>
  <c r="J21" i="87"/>
  <c r="H21" i="87"/>
  <c r="H26" i="87" s="1"/>
  <c r="G21" i="87"/>
  <c r="E21" i="87"/>
  <c r="D21" i="87"/>
  <c r="K15" i="87"/>
  <c r="J15" i="87"/>
  <c r="H15" i="87"/>
  <c r="G15" i="87"/>
  <c r="E15" i="87"/>
  <c r="D15" i="87"/>
  <c r="K14" i="87"/>
  <c r="J14" i="87"/>
  <c r="H14" i="87"/>
  <c r="G14" i="87"/>
  <c r="E14" i="87"/>
  <c r="D14" i="87"/>
  <c r="K13" i="87"/>
  <c r="J13" i="87"/>
  <c r="H13" i="87"/>
  <c r="G13" i="87"/>
  <c r="E13" i="87"/>
  <c r="D13" i="87"/>
  <c r="K12" i="87"/>
  <c r="J12" i="87"/>
  <c r="H12" i="87"/>
  <c r="G12" i="87"/>
  <c r="E12" i="87"/>
  <c r="D12" i="87"/>
  <c r="K11" i="87"/>
  <c r="J11" i="87"/>
  <c r="H11" i="87"/>
  <c r="G11" i="87"/>
  <c r="E11" i="87"/>
  <c r="D11" i="87"/>
  <c r="K10" i="87"/>
  <c r="J10" i="87"/>
  <c r="H10" i="87"/>
  <c r="G10" i="87"/>
  <c r="E10" i="87"/>
  <c r="D10" i="87"/>
  <c r="H9" i="87"/>
  <c r="E9" i="87"/>
  <c r="D9" i="87"/>
  <c r="K8" i="87"/>
  <c r="J8" i="87"/>
  <c r="H8" i="87"/>
  <c r="G8" i="87"/>
  <c r="E8" i="87"/>
  <c r="D8" i="87"/>
  <c r="K7" i="87"/>
  <c r="J7" i="87"/>
  <c r="H7" i="87"/>
  <c r="G7" i="87"/>
  <c r="E7" i="87"/>
  <c r="D7" i="87"/>
  <c r="K6" i="87"/>
  <c r="J6" i="87"/>
  <c r="H6" i="87"/>
  <c r="G6" i="87"/>
  <c r="G16" i="87" s="1"/>
  <c r="E6" i="87"/>
  <c r="D6" i="87"/>
  <c r="J57" i="86"/>
  <c r="I57" i="86"/>
  <c r="G57" i="86"/>
  <c r="F57" i="86"/>
  <c r="D57" i="86"/>
  <c r="C57" i="86"/>
  <c r="J56" i="86"/>
  <c r="I56" i="86"/>
  <c r="G56" i="86"/>
  <c r="G59" i="86" s="1"/>
  <c r="F56" i="86"/>
  <c r="F59" i="86" s="1"/>
  <c r="D56" i="86"/>
  <c r="C56" i="86"/>
  <c r="K50" i="86"/>
  <c r="J50" i="86"/>
  <c r="H50" i="86"/>
  <c r="G50" i="86"/>
  <c r="E50" i="86"/>
  <c r="D50" i="86"/>
  <c r="K49" i="86"/>
  <c r="J49" i="86"/>
  <c r="H49" i="86"/>
  <c r="G49" i="86"/>
  <c r="E49" i="86"/>
  <c r="D49" i="86"/>
  <c r="K48" i="86"/>
  <c r="J48" i="86"/>
  <c r="H48" i="86"/>
  <c r="G48" i="86"/>
  <c r="E48" i="86"/>
  <c r="D48" i="86"/>
  <c r="K47" i="86"/>
  <c r="J47" i="86"/>
  <c r="H47" i="86"/>
  <c r="G47" i="86"/>
  <c r="E47" i="86"/>
  <c r="D47" i="86"/>
  <c r="K46" i="86"/>
  <c r="J46" i="86"/>
  <c r="H46" i="86"/>
  <c r="H51" i="86" s="1"/>
  <c r="G46" i="86"/>
  <c r="G51" i="86" s="1"/>
  <c r="E46" i="86"/>
  <c r="D46" i="86"/>
  <c r="K40" i="86"/>
  <c r="J40" i="86"/>
  <c r="H40" i="86"/>
  <c r="G40" i="86"/>
  <c r="E40" i="86"/>
  <c r="D40" i="86"/>
  <c r="J39" i="86"/>
  <c r="H39" i="86"/>
  <c r="G39" i="86"/>
  <c r="E39" i="86"/>
  <c r="D39" i="86"/>
  <c r="K38" i="86"/>
  <c r="J38" i="86"/>
  <c r="H38" i="86"/>
  <c r="G38" i="86"/>
  <c r="E38" i="86"/>
  <c r="D38" i="86"/>
  <c r="K37" i="86"/>
  <c r="J37" i="86"/>
  <c r="H37" i="86"/>
  <c r="G37" i="86"/>
  <c r="E37" i="86"/>
  <c r="D37" i="86"/>
  <c r="K36" i="86"/>
  <c r="J36" i="86"/>
  <c r="H36" i="86"/>
  <c r="G36" i="86"/>
  <c r="E36" i="86"/>
  <c r="D36" i="86"/>
  <c r="J35" i="86"/>
  <c r="H35" i="86"/>
  <c r="G35" i="86"/>
  <c r="E35" i="86"/>
  <c r="D35" i="86"/>
  <c r="K34" i="86"/>
  <c r="J34" i="86"/>
  <c r="H34" i="86"/>
  <c r="G34" i="86"/>
  <c r="E34" i="86"/>
  <c r="D34" i="86"/>
  <c r="K33" i="86"/>
  <c r="J33" i="86"/>
  <c r="H33" i="86"/>
  <c r="G33" i="86"/>
  <c r="E33" i="86"/>
  <c r="D33" i="86"/>
  <c r="J32" i="86"/>
  <c r="H32" i="86"/>
  <c r="G32" i="86"/>
  <c r="E32" i="86"/>
  <c r="D32" i="86"/>
  <c r="K31" i="86"/>
  <c r="J31" i="86"/>
  <c r="H31" i="86"/>
  <c r="H41" i="86" s="1"/>
  <c r="G31" i="86"/>
  <c r="G41" i="86" s="1"/>
  <c r="E31" i="86"/>
  <c r="D31" i="86"/>
  <c r="K25" i="86"/>
  <c r="J25" i="86"/>
  <c r="H25" i="86"/>
  <c r="G25" i="86"/>
  <c r="E25" i="86"/>
  <c r="D25" i="86"/>
  <c r="K24" i="86"/>
  <c r="J24" i="86"/>
  <c r="H24" i="86"/>
  <c r="G24" i="86"/>
  <c r="E24" i="86"/>
  <c r="D24" i="86"/>
  <c r="K23" i="86"/>
  <c r="J23" i="86"/>
  <c r="H23" i="86"/>
  <c r="G23" i="86"/>
  <c r="E23" i="86"/>
  <c r="D23" i="86"/>
  <c r="K22" i="86"/>
  <c r="J22" i="86"/>
  <c r="H22" i="86"/>
  <c r="G22" i="86"/>
  <c r="E22" i="86"/>
  <c r="D22" i="86"/>
  <c r="K21" i="86"/>
  <c r="J21" i="86"/>
  <c r="H21" i="86"/>
  <c r="H26" i="86" s="1"/>
  <c r="G21" i="86"/>
  <c r="G26" i="86" s="1"/>
  <c r="E21" i="86"/>
  <c r="D21" i="86"/>
  <c r="K15" i="86"/>
  <c r="J15" i="86"/>
  <c r="H15" i="86"/>
  <c r="G15" i="86"/>
  <c r="E15" i="86"/>
  <c r="D15" i="86"/>
  <c r="K14" i="86"/>
  <c r="J14" i="86"/>
  <c r="H14" i="86"/>
  <c r="G14" i="86"/>
  <c r="E14" i="86"/>
  <c r="D14" i="86"/>
  <c r="K13" i="86"/>
  <c r="J13" i="86"/>
  <c r="H13" i="86"/>
  <c r="G13" i="86"/>
  <c r="E13" i="86"/>
  <c r="D13" i="86"/>
  <c r="K12" i="86"/>
  <c r="J12" i="86"/>
  <c r="H12" i="86"/>
  <c r="G12" i="86"/>
  <c r="E12" i="86"/>
  <c r="D12" i="86"/>
  <c r="K11" i="86"/>
  <c r="J11" i="86"/>
  <c r="H11" i="86"/>
  <c r="G11" i="86"/>
  <c r="E11" i="86"/>
  <c r="D11" i="86"/>
  <c r="K10" i="86"/>
  <c r="J10" i="86"/>
  <c r="H10" i="86"/>
  <c r="G10" i="86"/>
  <c r="E10" i="86"/>
  <c r="D10" i="86"/>
  <c r="L9" i="86"/>
  <c r="H9" i="86"/>
  <c r="E9" i="86"/>
  <c r="D9" i="86"/>
  <c r="K8" i="86"/>
  <c r="J8" i="86"/>
  <c r="H8" i="86"/>
  <c r="G8" i="86"/>
  <c r="E8" i="86"/>
  <c r="D8" i="86"/>
  <c r="K7" i="86"/>
  <c r="J7" i="86"/>
  <c r="H7" i="86"/>
  <c r="G7" i="86"/>
  <c r="E7" i="86"/>
  <c r="D7" i="86"/>
  <c r="K6" i="86"/>
  <c r="J6" i="86"/>
  <c r="H6" i="86"/>
  <c r="G6" i="86"/>
  <c r="E6" i="86"/>
  <c r="D6" i="86"/>
  <c r="J57" i="85"/>
  <c r="I57" i="85"/>
  <c r="G57" i="85"/>
  <c r="F57" i="85"/>
  <c r="D57" i="85"/>
  <c r="C57" i="85"/>
  <c r="J56" i="85"/>
  <c r="I56" i="85"/>
  <c r="G56" i="85"/>
  <c r="F56" i="85"/>
  <c r="D56" i="85"/>
  <c r="C56" i="85"/>
  <c r="K50" i="85"/>
  <c r="J50" i="85"/>
  <c r="H50" i="85"/>
  <c r="G50" i="85"/>
  <c r="E50" i="85"/>
  <c r="D50" i="85"/>
  <c r="K49" i="85"/>
  <c r="J49" i="85"/>
  <c r="H49" i="85"/>
  <c r="G49" i="85"/>
  <c r="E49" i="85"/>
  <c r="D49" i="85"/>
  <c r="K48" i="85"/>
  <c r="J48" i="85"/>
  <c r="H48" i="85"/>
  <c r="G48" i="85"/>
  <c r="E48" i="85"/>
  <c r="D48" i="85"/>
  <c r="K47" i="85"/>
  <c r="J47" i="85"/>
  <c r="H47" i="85"/>
  <c r="G47" i="85"/>
  <c r="E47" i="85"/>
  <c r="D47" i="85"/>
  <c r="K46" i="85"/>
  <c r="J46" i="85"/>
  <c r="H46" i="85"/>
  <c r="G46" i="85"/>
  <c r="E46" i="85"/>
  <c r="D46" i="85"/>
  <c r="K40" i="85"/>
  <c r="J40" i="85"/>
  <c r="H40" i="85"/>
  <c r="G40" i="85"/>
  <c r="E40" i="85"/>
  <c r="D40" i="85"/>
  <c r="J39" i="85"/>
  <c r="H39" i="85"/>
  <c r="G39" i="85"/>
  <c r="E39" i="85"/>
  <c r="D39" i="85"/>
  <c r="K38" i="85"/>
  <c r="J38" i="85"/>
  <c r="H38" i="85"/>
  <c r="G38" i="85"/>
  <c r="E38" i="85"/>
  <c r="D38" i="85"/>
  <c r="K37" i="85"/>
  <c r="J37" i="85"/>
  <c r="H37" i="85"/>
  <c r="G37" i="85"/>
  <c r="E37" i="85"/>
  <c r="D37" i="85"/>
  <c r="K36" i="85"/>
  <c r="J36" i="85"/>
  <c r="H36" i="85"/>
  <c r="G36" i="85"/>
  <c r="E36" i="85"/>
  <c r="D36" i="85"/>
  <c r="J35" i="85"/>
  <c r="H35" i="85"/>
  <c r="G35" i="85"/>
  <c r="E35" i="85"/>
  <c r="D35" i="85"/>
  <c r="K34" i="85"/>
  <c r="J34" i="85"/>
  <c r="H34" i="85"/>
  <c r="G34" i="85"/>
  <c r="E34" i="85"/>
  <c r="D34" i="85"/>
  <c r="K33" i="85"/>
  <c r="J33" i="85"/>
  <c r="H33" i="85"/>
  <c r="G33" i="85"/>
  <c r="E33" i="85"/>
  <c r="D33" i="85"/>
  <c r="J32" i="85"/>
  <c r="H32" i="85"/>
  <c r="G32" i="85"/>
  <c r="E32" i="85"/>
  <c r="D32" i="85"/>
  <c r="K31" i="85"/>
  <c r="J31" i="85"/>
  <c r="H31" i="85"/>
  <c r="G31" i="85"/>
  <c r="E31" i="85"/>
  <c r="D31" i="85"/>
  <c r="K25" i="85"/>
  <c r="J25" i="85"/>
  <c r="H25" i="85"/>
  <c r="G25" i="85"/>
  <c r="E25" i="85"/>
  <c r="D25" i="85"/>
  <c r="K24" i="85"/>
  <c r="J24" i="85"/>
  <c r="H24" i="85"/>
  <c r="G24" i="85"/>
  <c r="E24" i="85"/>
  <c r="D24" i="85"/>
  <c r="K23" i="85"/>
  <c r="J23" i="85"/>
  <c r="H23" i="85"/>
  <c r="G23" i="85"/>
  <c r="E23" i="85"/>
  <c r="D23" i="85"/>
  <c r="K22" i="85"/>
  <c r="J22" i="85"/>
  <c r="H22" i="85"/>
  <c r="G22" i="85"/>
  <c r="E22" i="85"/>
  <c r="D22" i="85"/>
  <c r="K21" i="85"/>
  <c r="J21" i="85"/>
  <c r="H21" i="85"/>
  <c r="G21" i="85"/>
  <c r="E21" i="85"/>
  <c r="D21" i="85"/>
  <c r="K15" i="85"/>
  <c r="J15" i="85"/>
  <c r="H15" i="85"/>
  <c r="G15" i="85"/>
  <c r="E15" i="85"/>
  <c r="D15" i="85"/>
  <c r="K14" i="85"/>
  <c r="J14" i="85"/>
  <c r="H14" i="85"/>
  <c r="G14" i="85"/>
  <c r="E14" i="85"/>
  <c r="D14" i="85"/>
  <c r="K13" i="85"/>
  <c r="J13" i="85"/>
  <c r="H13" i="85"/>
  <c r="G13" i="85"/>
  <c r="E13" i="85"/>
  <c r="D13" i="85"/>
  <c r="K12" i="85"/>
  <c r="J12" i="85"/>
  <c r="H12" i="85"/>
  <c r="G12" i="85"/>
  <c r="E12" i="85"/>
  <c r="D12" i="85"/>
  <c r="K11" i="85"/>
  <c r="J11" i="85"/>
  <c r="H11" i="85"/>
  <c r="G11" i="85"/>
  <c r="E11" i="85"/>
  <c r="D11" i="85"/>
  <c r="K10" i="85"/>
  <c r="J10" i="85"/>
  <c r="H10" i="85"/>
  <c r="G10" i="85"/>
  <c r="E10" i="85"/>
  <c r="D10" i="85"/>
  <c r="L9" i="85"/>
  <c r="H9" i="85"/>
  <c r="E9" i="85"/>
  <c r="D9" i="85"/>
  <c r="K8" i="85"/>
  <c r="J8" i="85"/>
  <c r="H8" i="85"/>
  <c r="G8" i="85"/>
  <c r="E8" i="85"/>
  <c r="D8" i="85"/>
  <c r="K7" i="85"/>
  <c r="J7" i="85"/>
  <c r="H7" i="85"/>
  <c r="G7" i="85"/>
  <c r="E7" i="85"/>
  <c r="D7" i="85"/>
  <c r="K6" i="85"/>
  <c r="J6" i="85"/>
  <c r="H6" i="85"/>
  <c r="G6" i="85"/>
  <c r="E6" i="85"/>
  <c r="D6" i="85"/>
  <c r="J57" i="84"/>
  <c r="I57" i="84"/>
  <c r="G57" i="84"/>
  <c r="F57" i="84"/>
  <c r="D57" i="84"/>
  <c r="C57" i="84"/>
  <c r="J56" i="84"/>
  <c r="I56" i="84"/>
  <c r="G56" i="84"/>
  <c r="F56" i="84"/>
  <c r="D56" i="84"/>
  <c r="C56" i="84"/>
  <c r="K50" i="84"/>
  <c r="J50" i="84"/>
  <c r="H50" i="84"/>
  <c r="G50" i="84"/>
  <c r="E50" i="84"/>
  <c r="D50" i="84"/>
  <c r="K49" i="84"/>
  <c r="J49" i="84"/>
  <c r="H49" i="84"/>
  <c r="G49" i="84"/>
  <c r="E49" i="84"/>
  <c r="D49" i="84"/>
  <c r="K48" i="84"/>
  <c r="J48" i="84"/>
  <c r="H48" i="84"/>
  <c r="G48" i="84"/>
  <c r="E48" i="84"/>
  <c r="D48" i="84"/>
  <c r="K47" i="84"/>
  <c r="J47" i="84"/>
  <c r="H47" i="84"/>
  <c r="G47" i="84"/>
  <c r="E47" i="84"/>
  <c r="D47" i="84"/>
  <c r="K46" i="84"/>
  <c r="J46" i="84"/>
  <c r="H46" i="84"/>
  <c r="G46" i="84"/>
  <c r="E46" i="84"/>
  <c r="D46" i="84"/>
  <c r="K40" i="84"/>
  <c r="J40" i="84"/>
  <c r="H40" i="84"/>
  <c r="G40" i="84"/>
  <c r="E40" i="84"/>
  <c r="D40" i="84"/>
  <c r="J39" i="84"/>
  <c r="H39" i="84"/>
  <c r="G39" i="84"/>
  <c r="E39" i="84"/>
  <c r="D39" i="84"/>
  <c r="K38" i="84"/>
  <c r="J38" i="84"/>
  <c r="H38" i="84"/>
  <c r="G38" i="84"/>
  <c r="E38" i="84"/>
  <c r="D38" i="84"/>
  <c r="K37" i="84"/>
  <c r="J37" i="84"/>
  <c r="H37" i="84"/>
  <c r="G37" i="84"/>
  <c r="E37" i="84"/>
  <c r="D37" i="84"/>
  <c r="K36" i="84"/>
  <c r="J36" i="84"/>
  <c r="H36" i="84"/>
  <c r="G36" i="84"/>
  <c r="E36" i="84"/>
  <c r="D36" i="84"/>
  <c r="J35" i="84"/>
  <c r="H35" i="84"/>
  <c r="G35" i="84"/>
  <c r="E35" i="84"/>
  <c r="D35" i="84"/>
  <c r="K34" i="84"/>
  <c r="J34" i="84"/>
  <c r="H34" i="84"/>
  <c r="G34" i="84"/>
  <c r="E34" i="84"/>
  <c r="D34" i="84"/>
  <c r="K33" i="84"/>
  <c r="J33" i="84"/>
  <c r="H33" i="84"/>
  <c r="G33" i="84"/>
  <c r="E33" i="84"/>
  <c r="D33" i="84"/>
  <c r="J32" i="84"/>
  <c r="H32" i="84"/>
  <c r="G32" i="84"/>
  <c r="E32" i="84"/>
  <c r="D32" i="84"/>
  <c r="K31" i="84"/>
  <c r="J31" i="84"/>
  <c r="H31" i="84"/>
  <c r="G31" i="84"/>
  <c r="E31" i="84"/>
  <c r="D31" i="84"/>
  <c r="K25" i="84"/>
  <c r="J25" i="84"/>
  <c r="H25" i="84"/>
  <c r="G25" i="84"/>
  <c r="E25" i="84"/>
  <c r="D25" i="84"/>
  <c r="K24" i="84"/>
  <c r="J24" i="84"/>
  <c r="H24" i="84"/>
  <c r="G24" i="84"/>
  <c r="E24" i="84"/>
  <c r="D24" i="84"/>
  <c r="K23" i="84"/>
  <c r="J23" i="84"/>
  <c r="H23" i="84"/>
  <c r="G23" i="84"/>
  <c r="E23" i="84"/>
  <c r="D23" i="84"/>
  <c r="K22" i="84"/>
  <c r="J22" i="84"/>
  <c r="H22" i="84"/>
  <c r="G22" i="84"/>
  <c r="E22" i="84"/>
  <c r="D22" i="84"/>
  <c r="K21" i="84"/>
  <c r="J21" i="84"/>
  <c r="H21" i="84"/>
  <c r="G21" i="84"/>
  <c r="E21" i="84"/>
  <c r="D21" i="84"/>
  <c r="K15" i="84"/>
  <c r="J15" i="84"/>
  <c r="H15" i="84"/>
  <c r="G15" i="84"/>
  <c r="E15" i="84"/>
  <c r="D15" i="84"/>
  <c r="K14" i="84"/>
  <c r="J14" i="84"/>
  <c r="H14" i="84"/>
  <c r="G14" i="84"/>
  <c r="E14" i="84"/>
  <c r="D14" i="84"/>
  <c r="K13" i="84"/>
  <c r="J13" i="84"/>
  <c r="H13" i="84"/>
  <c r="G13" i="84"/>
  <c r="E13" i="84"/>
  <c r="D13" i="84"/>
  <c r="K12" i="84"/>
  <c r="J12" i="84"/>
  <c r="H12" i="84"/>
  <c r="G12" i="84"/>
  <c r="E12" i="84"/>
  <c r="D12" i="84"/>
  <c r="K11" i="84"/>
  <c r="J11" i="84"/>
  <c r="H11" i="84"/>
  <c r="G11" i="84"/>
  <c r="E11" i="84"/>
  <c r="D11" i="84"/>
  <c r="K10" i="84"/>
  <c r="J10" i="84"/>
  <c r="H10" i="84"/>
  <c r="G10" i="84"/>
  <c r="E10" i="84"/>
  <c r="D10" i="84"/>
  <c r="H9" i="84"/>
  <c r="E9" i="84"/>
  <c r="D9" i="84"/>
  <c r="K8" i="84"/>
  <c r="J8" i="84"/>
  <c r="H8" i="84"/>
  <c r="G8" i="84"/>
  <c r="E8" i="84"/>
  <c r="D8" i="84"/>
  <c r="K7" i="84"/>
  <c r="J7" i="84"/>
  <c r="H7" i="84"/>
  <c r="G7" i="84"/>
  <c r="E7" i="84"/>
  <c r="D7" i="84"/>
  <c r="K6" i="84"/>
  <c r="J6" i="84"/>
  <c r="H6" i="84"/>
  <c r="G6" i="84"/>
  <c r="E6" i="84"/>
  <c r="D6" i="84"/>
  <c r="J57" i="83"/>
  <c r="I57" i="83"/>
  <c r="G57" i="83"/>
  <c r="F57" i="83"/>
  <c r="D57" i="83"/>
  <c r="C57" i="83"/>
  <c r="J56" i="83"/>
  <c r="I56" i="83"/>
  <c r="G56" i="83"/>
  <c r="F56" i="83"/>
  <c r="D56" i="83"/>
  <c r="C56" i="83"/>
  <c r="K50" i="83"/>
  <c r="J50" i="83"/>
  <c r="H50" i="83"/>
  <c r="G50" i="83"/>
  <c r="E50" i="83"/>
  <c r="D50" i="83"/>
  <c r="K49" i="83"/>
  <c r="J49" i="83"/>
  <c r="H49" i="83"/>
  <c r="G49" i="83"/>
  <c r="E49" i="83"/>
  <c r="D49" i="83"/>
  <c r="K48" i="83"/>
  <c r="J48" i="83"/>
  <c r="H48" i="83"/>
  <c r="G48" i="83"/>
  <c r="E48" i="83"/>
  <c r="D48" i="83"/>
  <c r="K47" i="83"/>
  <c r="J47" i="83"/>
  <c r="H47" i="83"/>
  <c r="G47" i="83"/>
  <c r="E47" i="83"/>
  <c r="D47" i="83"/>
  <c r="K46" i="83"/>
  <c r="J46" i="83"/>
  <c r="H46" i="83"/>
  <c r="G46" i="83"/>
  <c r="E46" i="83"/>
  <c r="D46" i="83"/>
  <c r="K40" i="83"/>
  <c r="J40" i="83"/>
  <c r="H40" i="83"/>
  <c r="G40" i="83"/>
  <c r="E40" i="83"/>
  <c r="D40" i="83"/>
  <c r="J39" i="83"/>
  <c r="H39" i="83"/>
  <c r="G39" i="83"/>
  <c r="E39" i="83"/>
  <c r="D39" i="83"/>
  <c r="K38" i="83"/>
  <c r="J38" i="83"/>
  <c r="H38" i="83"/>
  <c r="G38" i="83"/>
  <c r="E38" i="83"/>
  <c r="D38" i="83"/>
  <c r="K37" i="83"/>
  <c r="J37" i="83"/>
  <c r="H37" i="83"/>
  <c r="G37" i="83"/>
  <c r="E37" i="83"/>
  <c r="D37" i="83"/>
  <c r="K36" i="83"/>
  <c r="J36" i="83"/>
  <c r="H36" i="83"/>
  <c r="G36" i="83"/>
  <c r="E36" i="83"/>
  <c r="D36" i="83"/>
  <c r="J35" i="83"/>
  <c r="H35" i="83"/>
  <c r="G35" i="83"/>
  <c r="E35" i="83"/>
  <c r="D35" i="83"/>
  <c r="K34" i="83"/>
  <c r="J34" i="83"/>
  <c r="H34" i="83"/>
  <c r="G34" i="83"/>
  <c r="E34" i="83"/>
  <c r="D34" i="83"/>
  <c r="K33" i="83"/>
  <c r="J33" i="83"/>
  <c r="H33" i="83"/>
  <c r="G33" i="83"/>
  <c r="E33" i="83"/>
  <c r="D33" i="83"/>
  <c r="J32" i="83"/>
  <c r="H32" i="83"/>
  <c r="G32" i="83"/>
  <c r="E32" i="83"/>
  <c r="D32" i="83"/>
  <c r="K31" i="83"/>
  <c r="J31" i="83"/>
  <c r="H31" i="83"/>
  <c r="G31" i="83"/>
  <c r="E31" i="83"/>
  <c r="D31" i="83"/>
  <c r="K25" i="83"/>
  <c r="J25" i="83"/>
  <c r="H25" i="83"/>
  <c r="G25" i="83"/>
  <c r="E25" i="83"/>
  <c r="D25" i="83"/>
  <c r="K24" i="83"/>
  <c r="J24" i="83"/>
  <c r="H24" i="83"/>
  <c r="G24" i="83"/>
  <c r="E24" i="83"/>
  <c r="D24" i="83"/>
  <c r="K23" i="83"/>
  <c r="J23" i="83"/>
  <c r="H23" i="83"/>
  <c r="G23" i="83"/>
  <c r="E23" i="83"/>
  <c r="D23" i="83"/>
  <c r="K22" i="83"/>
  <c r="J22" i="83"/>
  <c r="H22" i="83"/>
  <c r="G22" i="83"/>
  <c r="E22" i="83"/>
  <c r="D22" i="83"/>
  <c r="K21" i="83"/>
  <c r="J21" i="83"/>
  <c r="H21" i="83"/>
  <c r="G21" i="83"/>
  <c r="E21" i="83"/>
  <c r="D21" i="83"/>
  <c r="K15" i="83"/>
  <c r="J15" i="83"/>
  <c r="H15" i="83"/>
  <c r="G15" i="83"/>
  <c r="E15" i="83"/>
  <c r="D15" i="83"/>
  <c r="K14" i="83"/>
  <c r="J14" i="83"/>
  <c r="H14" i="83"/>
  <c r="G14" i="83"/>
  <c r="E14" i="83"/>
  <c r="D14" i="83"/>
  <c r="K13" i="83"/>
  <c r="J13" i="83"/>
  <c r="H13" i="83"/>
  <c r="G13" i="83"/>
  <c r="E13" i="83"/>
  <c r="D13" i="83"/>
  <c r="K12" i="83"/>
  <c r="J12" i="83"/>
  <c r="H12" i="83"/>
  <c r="G12" i="83"/>
  <c r="E12" i="83"/>
  <c r="D12" i="83"/>
  <c r="K11" i="83"/>
  <c r="J11" i="83"/>
  <c r="H11" i="83"/>
  <c r="G11" i="83"/>
  <c r="E11" i="83"/>
  <c r="D11" i="83"/>
  <c r="K10" i="83"/>
  <c r="J10" i="83"/>
  <c r="H10" i="83"/>
  <c r="G10" i="83"/>
  <c r="E10" i="83"/>
  <c r="D10" i="83"/>
  <c r="L9" i="83"/>
  <c r="H9" i="83"/>
  <c r="E9" i="83"/>
  <c r="D9" i="83"/>
  <c r="K8" i="83"/>
  <c r="J8" i="83"/>
  <c r="H8" i="83"/>
  <c r="G8" i="83"/>
  <c r="E8" i="83"/>
  <c r="D8" i="83"/>
  <c r="K7" i="83"/>
  <c r="J7" i="83"/>
  <c r="H7" i="83"/>
  <c r="G7" i="83"/>
  <c r="E7" i="83"/>
  <c r="D7" i="83"/>
  <c r="K6" i="83"/>
  <c r="J6" i="83"/>
  <c r="H6" i="83"/>
  <c r="G6" i="83"/>
  <c r="E6" i="83"/>
  <c r="D6" i="83"/>
  <c r="J57" i="82"/>
  <c r="I57" i="82"/>
  <c r="G57" i="82"/>
  <c r="F57" i="82"/>
  <c r="D57" i="82"/>
  <c r="C57" i="82"/>
  <c r="J56" i="82"/>
  <c r="I56" i="82"/>
  <c r="G56" i="82"/>
  <c r="F56" i="82"/>
  <c r="D56" i="82"/>
  <c r="D59" i="82" s="1"/>
  <c r="C56" i="82"/>
  <c r="C59" i="82" s="1"/>
  <c r="K50" i="82"/>
  <c r="J50" i="82"/>
  <c r="H50" i="82"/>
  <c r="G50" i="82"/>
  <c r="E50" i="82"/>
  <c r="D50" i="82"/>
  <c r="K49" i="82"/>
  <c r="J49" i="82"/>
  <c r="H49" i="82"/>
  <c r="G49" i="82"/>
  <c r="E49" i="82"/>
  <c r="D49" i="82"/>
  <c r="K48" i="82"/>
  <c r="J48" i="82"/>
  <c r="H48" i="82"/>
  <c r="G48" i="82"/>
  <c r="E48" i="82"/>
  <c r="D48" i="82"/>
  <c r="K47" i="82"/>
  <c r="J47" i="82"/>
  <c r="H47" i="82"/>
  <c r="G47" i="82"/>
  <c r="E47" i="82"/>
  <c r="D47" i="82"/>
  <c r="K46" i="82"/>
  <c r="J46" i="82"/>
  <c r="H46" i="82"/>
  <c r="G46" i="82"/>
  <c r="E46" i="82"/>
  <c r="E51" i="82" s="1"/>
  <c r="D46" i="82"/>
  <c r="K40" i="82"/>
  <c r="J40" i="82"/>
  <c r="H40" i="82"/>
  <c r="G40" i="82"/>
  <c r="E40" i="82"/>
  <c r="D40" i="82"/>
  <c r="J39" i="82"/>
  <c r="H39" i="82"/>
  <c r="G39" i="82"/>
  <c r="E39" i="82"/>
  <c r="D39" i="82"/>
  <c r="K38" i="82"/>
  <c r="J38" i="82"/>
  <c r="H38" i="82"/>
  <c r="G38" i="82"/>
  <c r="E38" i="82"/>
  <c r="D38" i="82"/>
  <c r="K37" i="82"/>
  <c r="J37" i="82"/>
  <c r="H37" i="82"/>
  <c r="G37" i="82"/>
  <c r="E37" i="82"/>
  <c r="D37" i="82"/>
  <c r="K36" i="82"/>
  <c r="J36" i="82"/>
  <c r="H36" i="82"/>
  <c r="G36" i="82"/>
  <c r="E36" i="82"/>
  <c r="D36" i="82"/>
  <c r="J35" i="82"/>
  <c r="H35" i="82"/>
  <c r="G35" i="82"/>
  <c r="E35" i="82"/>
  <c r="D35" i="82"/>
  <c r="K34" i="82"/>
  <c r="J34" i="82"/>
  <c r="H34" i="82"/>
  <c r="G34" i="82"/>
  <c r="E34" i="82"/>
  <c r="D34" i="82"/>
  <c r="K33" i="82"/>
  <c r="J33" i="82"/>
  <c r="H33" i="82"/>
  <c r="G33" i="82"/>
  <c r="E33" i="82"/>
  <c r="D33" i="82"/>
  <c r="J32" i="82"/>
  <c r="H32" i="82"/>
  <c r="G32" i="82"/>
  <c r="E32" i="82"/>
  <c r="D32" i="82"/>
  <c r="K31" i="82"/>
  <c r="J31" i="82"/>
  <c r="H31" i="82"/>
  <c r="G31" i="82"/>
  <c r="E31" i="82"/>
  <c r="E41" i="82" s="1"/>
  <c r="D31" i="82"/>
  <c r="K25" i="82"/>
  <c r="J25" i="82"/>
  <c r="H25" i="82"/>
  <c r="G25" i="82"/>
  <c r="E25" i="82"/>
  <c r="D25" i="82"/>
  <c r="K24" i="82"/>
  <c r="J24" i="82"/>
  <c r="H24" i="82"/>
  <c r="G24" i="82"/>
  <c r="E24" i="82"/>
  <c r="D24" i="82"/>
  <c r="K23" i="82"/>
  <c r="J23" i="82"/>
  <c r="H23" i="82"/>
  <c r="G23" i="82"/>
  <c r="E23" i="82"/>
  <c r="D23" i="82"/>
  <c r="K22" i="82"/>
  <c r="J22" i="82"/>
  <c r="H22" i="82"/>
  <c r="G22" i="82"/>
  <c r="E22" i="82"/>
  <c r="D22" i="82"/>
  <c r="K21" i="82"/>
  <c r="J21" i="82"/>
  <c r="H21" i="82"/>
  <c r="G21" i="82"/>
  <c r="E21" i="82"/>
  <c r="E26" i="82" s="1"/>
  <c r="D21" i="82"/>
  <c r="K15" i="82"/>
  <c r="J15" i="82"/>
  <c r="H15" i="82"/>
  <c r="G15" i="82"/>
  <c r="E15" i="82"/>
  <c r="D15" i="82"/>
  <c r="K14" i="82"/>
  <c r="J14" i="82"/>
  <c r="H14" i="82"/>
  <c r="G14" i="82"/>
  <c r="E14" i="82"/>
  <c r="D14" i="82"/>
  <c r="K13" i="82"/>
  <c r="J13" i="82"/>
  <c r="H13" i="82"/>
  <c r="G13" i="82"/>
  <c r="E13" i="82"/>
  <c r="D13" i="82"/>
  <c r="K12" i="82"/>
  <c r="J12" i="82"/>
  <c r="H12" i="82"/>
  <c r="G12" i="82"/>
  <c r="E12" i="82"/>
  <c r="D12" i="82"/>
  <c r="K11" i="82"/>
  <c r="J11" i="82"/>
  <c r="H11" i="82"/>
  <c r="G11" i="82"/>
  <c r="E11" i="82"/>
  <c r="D11" i="82"/>
  <c r="K10" i="82"/>
  <c r="J10" i="82"/>
  <c r="H10" i="82"/>
  <c r="G10" i="82"/>
  <c r="E10" i="82"/>
  <c r="D10" i="82"/>
  <c r="H9" i="82"/>
  <c r="E9" i="82"/>
  <c r="D9" i="82"/>
  <c r="K8" i="82"/>
  <c r="J8" i="82"/>
  <c r="H8" i="82"/>
  <c r="G8" i="82"/>
  <c r="E8" i="82"/>
  <c r="D8" i="82"/>
  <c r="K7" i="82"/>
  <c r="J7" i="82"/>
  <c r="H7" i="82"/>
  <c r="G7" i="82"/>
  <c r="E7" i="82"/>
  <c r="D7" i="82"/>
  <c r="K6" i="82"/>
  <c r="J6" i="82"/>
  <c r="H6" i="82"/>
  <c r="G6" i="82"/>
  <c r="E6" i="82"/>
  <c r="E16" i="82" s="1"/>
  <c r="D6" i="82"/>
  <c r="J57" i="81"/>
  <c r="I57" i="81"/>
  <c r="G57" i="81"/>
  <c r="F57" i="81"/>
  <c r="D57" i="81"/>
  <c r="C57" i="81"/>
  <c r="J56" i="81"/>
  <c r="J59" i="81" s="1"/>
  <c r="I56" i="81"/>
  <c r="I59" i="81" s="1"/>
  <c r="G56" i="81"/>
  <c r="G59" i="81" s="1"/>
  <c r="F56" i="81"/>
  <c r="F59" i="81" s="1"/>
  <c r="D56" i="81"/>
  <c r="C56" i="81"/>
  <c r="K50" i="81"/>
  <c r="J50" i="81"/>
  <c r="H50" i="81"/>
  <c r="G50" i="81"/>
  <c r="E50" i="81"/>
  <c r="D50" i="81"/>
  <c r="K49" i="81"/>
  <c r="J49" i="81"/>
  <c r="H49" i="81"/>
  <c r="G49" i="81"/>
  <c r="E49" i="81"/>
  <c r="D49" i="81"/>
  <c r="K48" i="81"/>
  <c r="J48" i="81"/>
  <c r="H48" i="81"/>
  <c r="G48" i="81"/>
  <c r="E48" i="81"/>
  <c r="D48" i="81"/>
  <c r="K47" i="81"/>
  <c r="J47" i="81"/>
  <c r="H47" i="81"/>
  <c r="G47" i="81"/>
  <c r="E47" i="81"/>
  <c r="D47" i="81"/>
  <c r="K46" i="81"/>
  <c r="K51" i="81" s="1"/>
  <c r="J46" i="81"/>
  <c r="J51" i="81" s="1"/>
  <c r="H46" i="81"/>
  <c r="H51" i="81" s="1"/>
  <c r="G46" i="81"/>
  <c r="G51" i="81" s="1"/>
  <c r="E46" i="81"/>
  <c r="D46" i="81"/>
  <c r="K40" i="81"/>
  <c r="J40" i="81"/>
  <c r="H40" i="81"/>
  <c r="G40" i="81"/>
  <c r="E40" i="81"/>
  <c r="D40" i="81"/>
  <c r="J39" i="81"/>
  <c r="H39" i="81"/>
  <c r="G39" i="81"/>
  <c r="E39" i="81"/>
  <c r="D39" i="81"/>
  <c r="K38" i="81"/>
  <c r="J38" i="81"/>
  <c r="H38" i="81"/>
  <c r="G38" i="81"/>
  <c r="E38" i="81"/>
  <c r="D38" i="81"/>
  <c r="K37" i="81"/>
  <c r="J37" i="81"/>
  <c r="H37" i="81"/>
  <c r="G37" i="81"/>
  <c r="E37" i="81"/>
  <c r="D37" i="81"/>
  <c r="K36" i="81"/>
  <c r="J36" i="81"/>
  <c r="H36" i="81"/>
  <c r="G36" i="81"/>
  <c r="E36" i="81"/>
  <c r="D36" i="81"/>
  <c r="J35" i="81"/>
  <c r="H35" i="81"/>
  <c r="G35" i="81"/>
  <c r="E35" i="81"/>
  <c r="D35" i="81"/>
  <c r="K34" i="81"/>
  <c r="J34" i="81"/>
  <c r="H34" i="81"/>
  <c r="G34" i="81"/>
  <c r="E34" i="81"/>
  <c r="D34" i="81"/>
  <c r="K33" i="81"/>
  <c r="J33" i="81"/>
  <c r="H33" i="81"/>
  <c r="G33" i="81"/>
  <c r="E33" i="81"/>
  <c r="D33" i="81"/>
  <c r="J32" i="81"/>
  <c r="H32" i="81"/>
  <c r="G32" i="81"/>
  <c r="E32" i="81"/>
  <c r="D32" i="81"/>
  <c r="K31" i="81"/>
  <c r="K41" i="81" s="1"/>
  <c r="J31" i="81"/>
  <c r="J41" i="81" s="1"/>
  <c r="H31" i="81"/>
  <c r="G31" i="81"/>
  <c r="G41" i="81" s="1"/>
  <c r="E31" i="81"/>
  <c r="D31" i="81"/>
  <c r="K25" i="81"/>
  <c r="J25" i="81"/>
  <c r="H25" i="81"/>
  <c r="G25" i="81"/>
  <c r="E25" i="81"/>
  <c r="D25" i="81"/>
  <c r="K24" i="81"/>
  <c r="J24" i="81"/>
  <c r="H24" i="81"/>
  <c r="G24" i="81"/>
  <c r="E24" i="81"/>
  <c r="D24" i="81"/>
  <c r="K23" i="81"/>
  <c r="J23" i="81"/>
  <c r="H23" i="81"/>
  <c r="G23" i="81"/>
  <c r="E23" i="81"/>
  <c r="D23" i="81"/>
  <c r="K22" i="81"/>
  <c r="J22" i="81"/>
  <c r="H22" i="81"/>
  <c r="G22" i="81"/>
  <c r="E22" i="81"/>
  <c r="D22" i="81"/>
  <c r="K21" i="81"/>
  <c r="K26" i="81" s="1"/>
  <c r="J21" i="81"/>
  <c r="H21" i="81"/>
  <c r="H26" i="81" s="1"/>
  <c r="G21" i="81"/>
  <c r="E21" i="81"/>
  <c r="D21" i="81"/>
  <c r="K15" i="81"/>
  <c r="J15" i="81"/>
  <c r="H15" i="81"/>
  <c r="G15" i="81"/>
  <c r="E15" i="81"/>
  <c r="D15" i="81"/>
  <c r="K14" i="81"/>
  <c r="J14" i="81"/>
  <c r="H14" i="81"/>
  <c r="G14" i="81"/>
  <c r="E14" i="81"/>
  <c r="D14" i="81"/>
  <c r="K13" i="81"/>
  <c r="J13" i="81"/>
  <c r="H13" i="81"/>
  <c r="G13" i="81"/>
  <c r="E13" i="81"/>
  <c r="D13" i="81"/>
  <c r="K11" i="81"/>
  <c r="J11" i="81"/>
  <c r="H11" i="81"/>
  <c r="G11" i="81"/>
  <c r="E11" i="81"/>
  <c r="D11" i="81"/>
  <c r="K10" i="81"/>
  <c r="J10" i="81"/>
  <c r="H10" i="81"/>
  <c r="G10" i="81"/>
  <c r="E10" i="81"/>
  <c r="D10" i="81"/>
  <c r="H9" i="81"/>
  <c r="E9" i="81"/>
  <c r="D9" i="81"/>
  <c r="K8" i="81"/>
  <c r="J8" i="81"/>
  <c r="H8" i="81"/>
  <c r="G8" i="81"/>
  <c r="E8" i="81"/>
  <c r="D8" i="81"/>
  <c r="K7" i="81"/>
  <c r="J7" i="81"/>
  <c r="H7" i="81"/>
  <c r="G7" i="81"/>
  <c r="E7" i="81"/>
  <c r="D7" i="81"/>
  <c r="K6" i="81"/>
  <c r="J6" i="81"/>
  <c r="J16" i="81" s="1"/>
  <c r="H6" i="81"/>
  <c r="H16" i="81" s="1"/>
  <c r="G6" i="81"/>
  <c r="E6" i="81"/>
  <c r="D6" i="81"/>
  <c r="K65" i="88"/>
  <c r="G65" i="88"/>
  <c r="F65" i="88"/>
  <c r="D65" i="88"/>
  <c r="C65" i="88"/>
  <c r="P20" i="88"/>
  <c r="P17" i="88"/>
  <c r="E58" i="88" s="1"/>
  <c r="P15" i="88"/>
  <c r="P9" i="88"/>
  <c r="L9" i="88"/>
  <c r="K65" i="87"/>
  <c r="G65" i="87"/>
  <c r="F65" i="87"/>
  <c r="D65" i="87"/>
  <c r="C65" i="87"/>
  <c r="P20" i="87"/>
  <c r="P17" i="87"/>
  <c r="E58" i="87" s="1"/>
  <c r="P15" i="87"/>
  <c r="P9" i="87"/>
  <c r="L9" i="87"/>
  <c r="K65" i="86"/>
  <c r="G65" i="86"/>
  <c r="F65" i="86"/>
  <c r="D65" i="86"/>
  <c r="C65" i="86"/>
  <c r="P20" i="86"/>
  <c r="H58" i="86" s="1"/>
  <c r="P17" i="86"/>
  <c r="P15" i="86"/>
  <c r="P9" i="86"/>
  <c r="K65" i="85"/>
  <c r="G65" i="85"/>
  <c r="F65" i="85"/>
  <c r="D65" i="85"/>
  <c r="E65" i="85" s="1"/>
  <c r="C65" i="85"/>
  <c r="P20" i="85"/>
  <c r="H58" i="85" s="1"/>
  <c r="P17" i="85"/>
  <c r="E58" i="85" s="1"/>
  <c r="P15" i="85"/>
  <c r="P9" i="85"/>
  <c r="K65" i="84"/>
  <c r="G65" i="84"/>
  <c r="F65" i="84"/>
  <c r="D65" i="84"/>
  <c r="C65" i="84"/>
  <c r="P20" i="84"/>
  <c r="H58" i="84" s="1"/>
  <c r="P17" i="84"/>
  <c r="E58" i="84" s="1"/>
  <c r="P15" i="84"/>
  <c r="P9" i="84"/>
  <c r="L9" i="84"/>
  <c r="J57" i="80"/>
  <c r="I57" i="80"/>
  <c r="G57" i="80"/>
  <c r="F57" i="80"/>
  <c r="D57" i="80"/>
  <c r="C57" i="80"/>
  <c r="J56" i="80"/>
  <c r="I56" i="80"/>
  <c r="G56" i="80"/>
  <c r="G59" i="80" s="1"/>
  <c r="F56" i="80"/>
  <c r="F59" i="80" s="1"/>
  <c r="D56" i="80"/>
  <c r="C56" i="80"/>
  <c r="K50" i="80"/>
  <c r="J50" i="80"/>
  <c r="H50" i="80"/>
  <c r="G50" i="80"/>
  <c r="E50" i="80"/>
  <c r="D50" i="80"/>
  <c r="K49" i="80"/>
  <c r="J49" i="80"/>
  <c r="H49" i="80"/>
  <c r="G49" i="80"/>
  <c r="E49" i="80"/>
  <c r="D49" i="80"/>
  <c r="K48" i="80"/>
  <c r="J48" i="80"/>
  <c r="H48" i="80"/>
  <c r="G48" i="80"/>
  <c r="E48" i="80"/>
  <c r="D48" i="80"/>
  <c r="K47" i="80"/>
  <c r="J47" i="80"/>
  <c r="H47" i="80"/>
  <c r="G47" i="80"/>
  <c r="E47" i="80"/>
  <c r="D47" i="80"/>
  <c r="K46" i="80"/>
  <c r="J46" i="80"/>
  <c r="H46" i="80"/>
  <c r="H51" i="80" s="1"/>
  <c r="G46" i="80"/>
  <c r="G51" i="80" s="1"/>
  <c r="E46" i="80"/>
  <c r="D46" i="80"/>
  <c r="K40" i="80"/>
  <c r="J40" i="80"/>
  <c r="H40" i="80"/>
  <c r="G40" i="80"/>
  <c r="E40" i="80"/>
  <c r="D40" i="80"/>
  <c r="J39" i="80"/>
  <c r="H39" i="80"/>
  <c r="G39" i="80"/>
  <c r="E39" i="80"/>
  <c r="D39" i="80"/>
  <c r="K38" i="80"/>
  <c r="J38" i="80"/>
  <c r="H38" i="80"/>
  <c r="G38" i="80"/>
  <c r="E38" i="80"/>
  <c r="D38" i="80"/>
  <c r="K37" i="80"/>
  <c r="J37" i="80"/>
  <c r="H37" i="80"/>
  <c r="G37" i="80"/>
  <c r="E37" i="80"/>
  <c r="D37" i="80"/>
  <c r="K36" i="80"/>
  <c r="J36" i="80"/>
  <c r="H36" i="80"/>
  <c r="G36" i="80"/>
  <c r="E36" i="80"/>
  <c r="D36" i="80"/>
  <c r="J35" i="80"/>
  <c r="H35" i="80"/>
  <c r="G35" i="80"/>
  <c r="E35" i="80"/>
  <c r="D35" i="80"/>
  <c r="K34" i="80"/>
  <c r="J34" i="80"/>
  <c r="H34" i="80"/>
  <c r="G34" i="80"/>
  <c r="E34" i="80"/>
  <c r="D34" i="80"/>
  <c r="K33" i="80"/>
  <c r="J33" i="80"/>
  <c r="H33" i="80"/>
  <c r="G33" i="80"/>
  <c r="E33" i="80"/>
  <c r="D33" i="80"/>
  <c r="J32" i="80"/>
  <c r="H32" i="80"/>
  <c r="G32" i="80"/>
  <c r="E32" i="80"/>
  <c r="D32" i="80"/>
  <c r="K31" i="80"/>
  <c r="J31" i="80"/>
  <c r="H31" i="80"/>
  <c r="H41" i="80" s="1"/>
  <c r="G31" i="80"/>
  <c r="G41" i="80" s="1"/>
  <c r="E31" i="80"/>
  <c r="D31" i="80"/>
  <c r="K25" i="80"/>
  <c r="J25" i="80"/>
  <c r="H25" i="80"/>
  <c r="G25" i="80"/>
  <c r="E25" i="80"/>
  <c r="D25" i="80"/>
  <c r="K24" i="80"/>
  <c r="J24" i="80"/>
  <c r="H24" i="80"/>
  <c r="G24" i="80"/>
  <c r="E24" i="80"/>
  <c r="D24" i="80"/>
  <c r="K23" i="80"/>
  <c r="J23" i="80"/>
  <c r="H23" i="80"/>
  <c r="G23" i="80"/>
  <c r="E23" i="80"/>
  <c r="D23" i="80"/>
  <c r="K22" i="80"/>
  <c r="J22" i="80"/>
  <c r="H22" i="80"/>
  <c r="G22" i="80"/>
  <c r="E22" i="80"/>
  <c r="D22" i="80"/>
  <c r="K21" i="80"/>
  <c r="J21" i="80"/>
  <c r="H21" i="80"/>
  <c r="H26" i="80" s="1"/>
  <c r="G21" i="80"/>
  <c r="G26" i="80" s="1"/>
  <c r="E21" i="80"/>
  <c r="D21" i="80"/>
  <c r="K15" i="80"/>
  <c r="J15" i="80"/>
  <c r="H15" i="80"/>
  <c r="G15" i="80"/>
  <c r="E15" i="80"/>
  <c r="D15" i="80"/>
  <c r="K14" i="80"/>
  <c r="J14" i="80"/>
  <c r="H14" i="80"/>
  <c r="G14" i="80"/>
  <c r="E14" i="80"/>
  <c r="D14" i="80"/>
  <c r="K13" i="80"/>
  <c r="J13" i="80"/>
  <c r="H13" i="80"/>
  <c r="G13" i="80"/>
  <c r="E13" i="80"/>
  <c r="D13" i="80"/>
  <c r="K11" i="80"/>
  <c r="J11" i="80"/>
  <c r="H11" i="80"/>
  <c r="G11" i="80"/>
  <c r="E11" i="80"/>
  <c r="D11" i="80"/>
  <c r="K10" i="80"/>
  <c r="J10" i="80"/>
  <c r="H10" i="80"/>
  <c r="G10" i="80"/>
  <c r="E10" i="80"/>
  <c r="D10" i="80"/>
  <c r="H9" i="80"/>
  <c r="E9" i="80"/>
  <c r="D9" i="80"/>
  <c r="K8" i="80"/>
  <c r="J8" i="80"/>
  <c r="H8" i="80"/>
  <c r="G8" i="80"/>
  <c r="E8" i="80"/>
  <c r="D8" i="80"/>
  <c r="K7" i="80"/>
  <c r="J7" i="80"/>
  <c r="H7" i="80"/>
  <c r="G7" i="80"/>
  <c r="E7" i="80"/>
  <c r="D7" i="80"/>
  <c r="K6" i="80"/>
  <c r="J6" i="80"/>
  <c r="H6" i="80"/>
  <c r="G6" i="80"/>
  <c r="E6" i="80"/>
  <c r="D6" i="80"/>
  <c r="J57" i="77"/>
  <c r="I57" i="77"/>
  <c r="G57" i="77"/>
  <c r="F57" i="77"/>
  <c r="D57" i="77"/>
  <c r="C57" i="77"/>
  <c r="J56" i="77"/>
  <c r="J59" i="77" s="1"/>
  <c r="I56" i="77"/>
  <c r="I59" i="77" s="1"/>
  <c r="G56" i="77"/>
  <c r="G59" i="77" s="1"/>
  <c r="F56" i="77"/>
  <c r="F59" i="77" s="1"/>
  <c r="D56" i="77"/>
  <c r="C56" i="77"/>
  <c r="K50" i="77"/>
  <c r="J50" i="77"/>
  <c r="H50" i="77"/>
  <c r="G50" i="77"/>
  <c r="E50" i="77"/>
  <c r="D50" i="77"/>
  <c r="K49" i="77"/>
  <c r="J49" i="77"/>
  <c r="H49" i="77"/>
  <c r="G49" i="77"/>
  <c r="E49" i="77"/>
  <c r="D49" i="77"/>
  <c r="K48" i="77"/>
  <c r="J48" i="77"/>
  <c r="H48" i="77"/>
  <c r="G48" i="77"/>
  <c r="E48" i="77"/>
  <c r="D48" i="77"/>
  <c r="K47" i="77"/>
  <c r="J47" i="77"/>
  <c r="H47" i="77"/>
  <c r="G47" i="77"/>
  <c r="E47" i="77"/>
  <c r="D47" i="77"/>
  <c r="K46" i="77"/>
  <c r="K51" i="77" s="1"/>
  <c r="J46" i="77"/>
  <c r="J51" i="77" s="1"/>
  <c r="H46" i="77"/>
  <c r="H51" i="77" s="1"/>
  <c r="G46" i="77"/>
  <c r="G51" i="77" s="1"/>
  <c r="E46" i="77"/>
  <c r="D46" i="77"/>
  <c r="K40" i="77"/>
  <c r="J40" i="77"/>
  <c r="H40" i="77"/>
  <c r="G40" i="77"/>
  <c r="E40" i="77"/>
  <c r="D40" i="77"/>
  <c r="J39" i="77"/>
  <c r="H39" i="77"/>
  <c r="G39" i="77"/>
  <c r="E39" i="77"/>
  <c r="D39" i="77"/>
  <c r="K38" i="77"/>
  <c r="J38" i="77"/>
  <c r="H38" i="77"/>
  <c r="G38" i="77"/>
  <c r="E38" i="77"/>
  <c r="D38" i="77"/>
  <c r="K37" i="77"/>
  <c r="J37" i="77"/>
  <c r="H37" i="77"/>
  <c r="G37" i="77"/>
  <c r="E37" i="77"/>
  <c r="D37" i="77"/>
  <c r="K36" i="77"/>
  <c r="J36" i="77"/>
  <c r="H36" i="77"/>
  <c r="G36" i="77"/>
  <c r="E36" i="77"/>
  <c r="D36" i="77"/>
  <c r="J35" i="77"/>
  <c r="H35" i="77"/>
  <c r="G35" i="77"/>
  <c r="E35" i="77"/>
  <c r="D35" i="77"/>
  <c r="K34" i="77"/>
  <c r="J34" i="77"/>
  <c r="H34" i="77"/>
  <c r="G34" i="77"/>
  <c r="E34" i="77"/>
  <c r="D34" i="77"/>
  <c r="K33" i="77"/>
  <c r="J33" i="77"/>
  <c r="H33" i="77"/>
  <c r="G33" i="77"/>
  <c r="E33" i="77"/>
  <c r="D33" i="77"/>
  <c r="J32" i="77"/>
  <c r="H32" i="77"/>
  <c r="G32" i="77"/>
  <c r="E32" i="77"/>
  <c r="D32" i="77"/>
  <c r="K31" i="77"/>
  <c r="K41" i="77" s="1"/>
  <c r="J31" i="77"/>
  <c r="J41" i="77" s="1"/>
  <c r="H31" i="77"/>
  <c r="H41" i="77" s="1"/>
  <c r="G31" i="77"/>
  <c r="G41" i="77" s="1"/>
  <c r="E31" i="77"/>
  <c r="D31" i="77"/>
  <c r="K25" i="77"/>
  <c r="J25" i="77"/>
  <c r="H25" i="77"/>
  <c r="G25" i="77"/>
  <c r="E25" i="77"/>
  <c r="D25" i="77"/>
  <c r="K24" i="77"/>
  <c r="J24" i="77"/>
  <c r="H24" i="77"/>
  <c r="G24" i="77"/>
  <c r="E24" i="77"/>
  <c r="D24" i="77"/>
  <c r="K23" i="77"/>
  <c r="J23" i="77"/>
  <c r="H23" i="77"/>
  <c r="G23" i="77"/>
  <c r="E23" i="77"/>
  <c r="D23" i="77"/>
  <c r="K22" i="77"/>
  <c r="J22" i="77"/>
  <c r="H22" i="77"/>
  <c r="G22" i="77"/>
  <c r="E22" i="77"/>
  <c r="D22" i="77"/>
  <c r="K21" i="77"/>
  <c r="K26" i="77" s="1"/>
  <c r="J21" i="77"/>
  <c r="J26" i="77" s="1"/>
  <c r="H21" i="77"/>
  <c r="H26" i="77" s="1"/>
  <c r="G21" i="77"/>
  <c r="G26" i="77" s="1"/>
  <c r="E21" i="77"/>
  <c r="D21" i="77"/>
  <c r="K15" i="77"/>
  <c r="J15" i="77"/>
  <c r="H15" i="77"/>
  <c r="G15" i="77"/>
  <c r="E15" i="77"/>
  <c r="D15" i="77"/>
  <c r="K14" i="77"/>
  <c r="J14" i="77"/>
  <c r="H14" i="77"/>
  <c r="G14" i="77"/>
  <c r="E14" i="77"/>
  <c r="D14" i="77"/>
  <c r="K13" i="77"/>
  <c r="J13" i="77"/>
  <c r="H13" i="77"/>
  <c r="G13" i="77"/>
  <c r="E13" i="77"/>
  <c r="D13" i="77"/>
  <c r="K12" i="77"/>
  <c r="J12" i="77"/>
  <c r="H12" i="77"/>
  <c r="G12" i="77"/>
  <c r="E12" i="77"/>
  <c r="D12" i="77"/>
  <c r="K11" i="77"/>
  <c r="J11" i="77"/>
  <c r="H11" i="77"/>
  <c r="G11" i="77"/>
  <c r="E11" i="77"/>
  <c r="D11" i="77"/>
  <c r="K10" i="77"/>
  <c r="J10" i="77"/>
  <c r="H10" i="77"/>
  <c r="G10" i="77"/>
  <c r="E10" i="77"/>
  <c r="D10" i="77"/>
  <c r="H9" i="77"/>
  <c r="E9" i="77"/>
  <c r="D9" i="77"/>
  <c r="K8" i="77"/>
  <c r="J8" i="77"/>
  <c r="H8" i="77"/>
  <c r="G8" i="77"/>
  <c r="E8" i="77"/>
  <c r="D8" i="77"/>
  <c r="K7" i="77"/>
  <c r="J7" i="77"/>
  <c r="H7" i="77"/>
  <c r="G7" i="77"/>
  <c r="E7" i="77"/>
  <c r="D7" i="77"/>
  <c r="K6" i="77"/>
  <c r="K16" i="77" s="1"/>
  <c r="J6" i="77"/>
  <c r="H6" i="77"/>
  <c r="H16" i="77" s="1"/>
  <c r="G6" i="77"/>
  <c r="E6" i="77"/>
  <c r="D6" i="77"/>
  <c r="J57" i="76"/>
  <c r="I57" i="76"/>
  <c r="G57" i="76"/>
  <c r="F57" i="76"/>
  <c r="D57" i="76"/>
  <c r="C57" i="76"/>
  <c r="J56" i="76"/>
  <c r="J59" i="76" s="1"/>
  <c r="I56" i="76"/>
  <c r="I59" i="76" s="1"/>
  <c r="G56" i="76"/>
  <c r="G59" i="76" s="1"/>
  <c r="F56" i="76"/>
  <c r="F59" i="76" s="1"/>
  <c r="D56" i="76"/>
  <c r="C56" i="76"/>
  <c r="K50" i="76"/>
  <c r="J50" i="76"/>
  <c r="H50" i="76"/>
  <c r="G50" i="76"/>
  <c r="E50" i="76"/>
  <c r="D50" i="76"/>
  <c r="K49" i="76"/>
  <c r="J49" i="76"/>
  <c r="H49" i="76"/>
  <c r="G49" i="76"/>
  <c r="E49" i="76"/>
  <c r="D49" i="76"/>
  <c r="K48" i="76"/>
  <c r="J48" i="76"/>
  <c r="H48" i="76"/>
  <c r="G48" i="76"/>
  <c r="E48" i="76"/>
  <c r="D48" i="76"/>
  <c r="K47" i="76"/>
  <c r="J47" i="76"/>
  <c r="H47" i="76"/>
  <c r="G47" i="76"/>
  <c r="E47" i="76"/>
  <c r="D47" i="76"/>
  <c r="K46" i="76"/>
  <c r="K51" i="76" s="1"/>
  <c r="J46" i="76"/>
  <c r="H46" i="76"/>
  <c r="G46" i="76"/>
  <c r="G51" i="76" s="1"/>
  <c r="E46" i="76"/>
  <c r="D46" i="76"/>
  <c r="K40" i="76"/>
  <c r="J40" i="76"/>
  <c r="H40" i="76"/>
  <c r="G40" i="76"/>
  <c r="E40" i="76"/>
  <c r="D40" i="76"/>
  <c r="J39" i="76"/>
  <c r="H39" i="76"/>
  <c r="G39" i="76"/>
  <c r="E39" i="76"/>
  <c r="D39" i="76"/>
  <c r="K38" i="76"/>
  <c r="J38" i="76"/>
  <c r="H38" i="76"/>
  <c r="G38" i="76"/>
  <c r="E38" i="76"/>
  <c r="D38" i="76"/>
  <c r="K37" i="76"/>
  <c r="J37" i="76"/>
  <c r="H37" i="76"/>
  <c r="G37" i="76"/>
  <c r="E37" i="76"/>
  <c r="D37" i="76"/>
  <c r="K36" i="76"/>
  <c r="J36" i="76"/>
  <c r="H36" i="76"/>
  <c r="G36" i="76"/>
  <c r="E36" i="76"/>
  <c r="D36" i="76"/>
  <c r="J35" i="76"/>
  <c r="H35" i="76"/>
  <c r="G35" i="76"/>
  <c r="E35" i="76"/>
  <c r="D35" i="76"/>
  <c r="K34" i="76"/>
  <c r="J34" i="76"/>
  <c r="H34" i="76"/>
  <c r="G34" i="76"/>
  <c r="E34" i="76"/>
  <c r="D34" i="76"/>
  <c r="K33" i="76"/>
  <c r="J33" i="76"/>
  <c r="H33" i="76"/>
  <c r="G33" i="76"/>
  <c r="E33" i="76"/>
  <c r="D33" i="76"/>
  <c r="J32" i="76"/>
  <c r="H32" i="76"/>
  <c r="G32" i="76"/>
  <c r="E32" i="76"/>
  <c r="D32" i="76"/>
  <c r="K31" i="76"/>
  <c r="K41" i="76" s="1"/>
  <c r="J31" i="76"/>
  <c r="H31" i="76"/>
  <c r="G31" i="76"/>
  <c r="G41" i="76" s="1"/>
  <c r="E31" i="76"/>
  <c r="D31" i="76"/>
  <c r="K25" i="76"/>
  <c r="J25" i="76"/>
  <c r="H25" i="76"/>
  <c r="G25" i="76"/>
  <c r="E25" i="76"/>
  <c r="D25" i="76"/>
  <c r="K24" i="76"/>
  <c r="J24" i="76"/>
  <c r="H24" i="76"/>
  <c r="G24" i="76"/>
  <c r="E24" i="76"/>
  <c r="D24" i="76"/>
  <c r="K23" i="76"/>
  <c r="J23" i="76"/>
  <c r="H23" i="76"/>
  <c r="G23" i="76"/>
  <c r="E23" i="76"/>
  <c r="D23" i="76"/>
  <c r="K22" i="76"/>
  <c r="J22" i="76"/>
  <c r="H22" i="76"/>
  <c r="G22" i="76"/>
  <c r="E22" i="76"/>
  <c r="D22" i="76"/>
  <c r="K21" i="76"/>
  <c r="K26" i="76" s="1"/>
  <c r="J21" i="76"/>
  <c r="H21" i="76"/>
  <c r="G21" i="76"/>
  <c r="E21" i="76"/>
  <c r="D21" i="76"/>
  <c r="K15" i="76"/>
  <c r="J15" i="76"/>
  <c r="H15" i="76"/>
  <c r="G15" i="76"/>
  <c r="E15" i="76"/>
  <c r="D15" i="76"/>
  <c r="K14" i="76"/>
  <c r="J14" i="76"/>
  <c r="H14" i="76"/>
  <c r="G14" i="76"/>
  <c r="E14" i="76"/>
  <c r="D14" i="76"/>
  <c r="K13" i="76"/>
  <c r="J13" i="76"/>
  <c r="H13" i="76"/>
  <c r="G13" i="76"/>
  <c r="E13" i="76"/>
  <c r="D13" i="76"/>
  <c r="K12" i="76"/>
  <c r="J12" i="76"/>
  <c r="H12" i="76"/>
  <c r="G12" i="76"/>
  <c r="E12" i="76"/>
  <c r="D12" i="76"/>
  <c r="K11" i="76"/>
  <c r="J11" i="76"/>
  <c r="H11" i="76"/>
  <c r="G11" i="76"/>
  <c r="E11" i="76"/>
  <c r="D11" i="76"/>
  <c r="K10" i="76"/>
  <c r="J10" i="76"/>
  <c r="H10" i="76"/>
  <c r="G10" i="76"/>
  <c r="E10" i="76"/>
  <c r="D10" i="76"/>
  <c r="H9" i="76"/>
  <c r="E9" i="76"/>
  <c r="D9" i="76"/>
  <c r="K8" i="76"/>
  <c r="J8" i="76"/>
  <c r="H8" i="76"/>
  <c r="G8" i="76"/>
  <c r="E8" i="76"/>
  <c r="D8" i="76"/>
  <c r="K7" i="76"/>
  <c r="J7" i="76"/>
  <c r="H7" i="76"/>
  <c r="G7" i="76"/>
  <c r="E7" i="76"/>
  <c r="K6" i="76"/>
  <c r="K16" i="76" s="1"/>
  <c r="J6" i="76"/>
  <c r="J16" i="76" s="1"/>
  <c r="H6" i="76"/>
  <c r="H16" i="76" s="1"/>
  <c r="G6" i="76"/>
  <c r="E6" i="76"/>
  <c r="D6" i="76"/>
  <c r="J57" i="79"/>
  <c r="I57" i="79"/>
  <c r="G57" i="79"/>
  <c r="F57" i="79"/>
  <c r="D57" i="79"/>
  <c r="C57" i="79"/>
  <c r="J56" i="79"/>
  <c r="I56" i="79"/>
  <c r="G56" i="79"/>
  <c r="F56" i="79"/>
  <c r="D56" i="79"/>
  <c r="D59" i="79" s="1"/>
  <c r="C56" i="79"/>
  <c r="C59" i="79" s="1"/>
  <c r="K50" i="79"/>
  <c r="J50" i="79"/>
  <c r="H50" i="79"/>
  <c r="G50" i="79"/>
  <c r="E50" i="79"/>
  <c r="D50" i="79"/>
  <c r="K49" i="79"/>
  <c r="J49" i="79"/>
  <c r="H49" i="79"/>
  <c r="G49" i="79"/>
  <c r="E49" i="79"/>
  <c r="D49" i="79"/>
  <c r="K48" i="79"/>
  <c r="J48" i="79"/>
  <c r="H48" i="79"/>
  <c r="G48" i="79"/>
  <c r="E48" i="79"/>
  <c r="D48" i="79"/>
  <c r="K47" i="79"/>
  <c r="J47" i="79"/>
  <c r="H47" i="79"/>
  <c r="G47" i="79"/>
  <c r="E47" i="79"/>
  <c r="D47" i="79"/>
  <c r="K46" i="79"/>
  <c r="J46" i="79"/>
  <c r="H46" i="79"/>
  <c r="G46" i="79"/>
  <c r="E46" i="79"/>
  <c r="E51" i="79" s="1"/>
  <c r="D46" i="79"/>
  <c r="D51" i="79" s="1"/>
  <c r="K40" i="79"/>
  <c r="J40" i="79"/>
  <c r="H40" i="79"/>
  <c r="G40" i="79"/>
  <c r="E40" i="79"/>
  <c r="D40" i="79"/>
  <c r="J39" i="79"/>
  <c r="H39" i="79"/>
  <c r="G39" i="79"/>
  <c r="E39" i="79"/>
  <c r="D39" i="79"/>
  <c r="K38" i="79"/>
  <c r="J38" i="79"/>
  <c r="H38" i="79"/>
  <c r="G38" i="79"/>
  <c r="E38" i="79"/>
  <c r="D38" i="79"/>
  <c r="K37" i="79"/>
  <c r="J37" i="79"/>
  <c r="H37" i="79"/>
  <c r="G37" i="79"/>
  <c r="E37" i="79"/>
  <c r="D37" i="79"/>
  <c r="K36" i="79"/>
  <c r="J36" i="79"/>
  <c r="H36" i="79"/>
  <c r="G36" i="79"/>
  <c r="E36" i="79"/>
  <c r="D36" i="79"/>
  <c r="J35" i="79"/>
  <c r="H35" i="79"/>
  <c r="G35" i="79"/>
  <c r="E35" i="79"/>
  <c r="D35" i="79"/>
  <c r="K34" i="79"/>
  <c r="J34" i="79"/>
  <c r="H34" i="79"/>
  <c r="G34" i="79"/>
  <c r="E34" i="79"/>
  <c r="D34" i="79"/>
  <c r="K33" i="79"/>
  <c r="J33" i="79"/>
  <c r="H33" i="79"/>
  <c r="G33" i="79"/>
  <c r="E33" i="79"/>
  <c r="D33" i="79"/>
  <c r="J32" i="79"/>
  <c r="H32" i="79"/>
  <c r="G32" i="79"/>
  <c r="E32" i="79"/>
  <c r="D32" i="79"/>
  <c r="K31" i="79"/>
  <c r="J31" i="79"/>
  <c r="H31" i="79"/>
  <c r="G31" i="79"/>
  <c r="E31" i="79"/>
  <c r="E41" i="79" s="1"/>
  <c r="D31" i="79"/>
  <c r="K25" i="79"/>
  <c r="J25" i="79"/>
  <c r="H25" i="79"/>
  <c r="G25" i="79"/>
  <c r="E25" i="79"/>
  <c r="D25" i="79"/>
  <c r="K24" i="79"/>
  <c r="J24" i="79"/>
  <c r="H24" i="79"/>
  <c r="G24" i="79"/>
  <c r="E24" i="79"/>
  <c r="D24" i="79"/>
  <c r="K23" i="79"/>
  <c r="J23" i="79"/>
  <c r="H23" i="79"/>
  <c r="G23" i="79"/>
  <c r="E23" i="79"/>
  <c r="D23" i="79"/>
  <c r="K22" i="79"/>
  <c r="J22" i="79"/>
  <c r="H22" i="79"/>
  <c r="G22" i="79"/>
  <c r="E22" i="79"/>
  <c r="D22" i="79"/>
  <c r="K21" i="79"/>
  <c r="J21" i="79"/>
  <c r="H21" i="79"/>
  <c r="G21" i="79"/>
  <c r="E21" i="79"/>
  <c r="D21" i="79"/>
  <c r="K15" i="79"/>
  <c r="J15" i="79"/>
  <c r="H15" i="79"/>
  <c r="G15" i="79"/>
  <c r="E15" i="79"/>
  <c r="D15" i="79"/>
  <c r="K14" i="79"/>
  <c r="J14" i="79"/>
  <c r="H14" i="79"/>
  <c r="G14" i="79"/>
  <c r="E14" i="79"/>
  <c r="D14" i="79"/>
  <c r="K13" i="79"/>
  <c r="J13" i="79"/>
  <c r="H13" i="79"/>
  <c r="G13" i="79"/>
  <c r="E13" i="79"/>
  <c r="D13" i="79"/>
  <c r="K12" i="79"/>
  <c r="J12" i="79"/>
  <c r="H12" i="79"/>
  <c r="G12" i="79"/>
  <c r="E12" i="79"/>
  <c r="D12" i="79"/>
  <c r="K11" i="79"/>
  <c r="J11" i="79"/>
  <c r="H11" i="79"/>
  <c r="G11" i="79"/>
  <c r="E11" i="79"/>
  <c r="D11" i="79"/>
  <c r="K10" i="79"/>
  <c r="J10" i="79"/>
  <c r="H10" i="79"/>
  <c r="G10" i="79"/>
  <c r="E10" i="79"/>
  <c r="D10" i="79"/>
  <c r="H9" i="79"/>
  <c r="E9" i="79"/>
  <c r="D9" i="79"/>
  <c r="K8" i="79"/>
  <c r="J8" i="79"/>
  <c r="H8" i="79"/>
  <c r="G8" i="79"/>
  <c r="E8" i="79"/>
  <c r="D8" i="79"/>
  <c r="K7" i="79"/>
  <c r="J7" i="79"/>
  <c r="H7" i="79"/>
  <c r="G7" i="79"/>
  <c r="E7" i="79"/>
  <c r="D7" i="79"/>
  <c r="K6" i="79"/>
  <c r="J6" i="79"/>
  <c r="H6" i="79"/>
  <c r="G6" i="79"/>
  <c r="E6" i="79"/>
  <c r="D6" i="79"/>
  <c r="J57" i="78"/>
  <c r="I57" i="78"/>
  <c r="G57" i="78"/>
  <c r="F57" i="78"/>
  <c r="D57" i="78"/>
  <c r="C57" i="78"/>
  <c r="J56" i="78"/>
  <c r="I56" i="78"/>
  <c r="G56" i="78"/>
  <c r="F56" i="78"/>
  <c r="D56" i="78"/>
  <c r="C56" i="78"/>
  <c r="K50" i="78"/>
  <c r="J50" i="78"/>
  <c r="H50" i="78"/>
  <c r="G50" i="78"/>
  <c r="E50" i="78"/>
  <c r="D50" i="78"/>
  <c r="K49" i="78"/>
  <c r="J49" i="78"/>
  <c r="H49" i="78"/>
  <c r="G49" i="78"/>
  <c r="E49" i="78"/>
  <c r="D49" i="78"/>
  <c r="K48" i="78"/>
  <c r="J48" i="78"/>
  <c r="H48" i="78"/>
  <c r="G48" i="78"/>
  <c r="E48" i="78"/>
  <c r="D48" i="78"/>
  <c r="K47" i="78"/>
  <c r="J47" i="78"/>
  <c r="H47" i="78"/>
  <c r="G47" i="78"/>
  <c r="E47" i="78"/>
  <c r="D47" i="78"/>
  <c r="K46" i="78"/>
  <c r="J46" i="78"/>
  <c r="H46" i="78"/>
  <c r="G46" i="78"/>
  <c r="E46" i="78"/>
  <c r="D46" i="78"/>
  <c r="K40" i="78"/>
  <c r="J40" i="78"/>
  <c r="H40" i="78"/>
  <c r="G40" i="78"/>
  <c r="E40" i="78"/>
  <c r="D40" i="78"/>
  <c r="J39" i="78"/>
  <c r="H39" i="78"/>
  <c r="G39" i="78"/>
  <c r="E39" i="78"/>
  <c r="D39" i="78"/>
  <c r="K38" i="78"/>
  <c r="J38" i="78"/>
  <c r="H38" i="78"/>
  <c r="G38" i="78"/>
  <c r="E38" i="78"/>
  <c r="D38" i="78"/>
  <c r="K37" i="78"/>
  <c r="J37" i="78"/>
  <c r="H37" i="78"/>
  <c r="G37" i="78"/>
  <c r="E37" i="78"/>
  <c r="D37" i="78"/>
  <c r="K36" i="78"/>
  <c r="J36" i="78"/>
  <c r="H36" i="78"/>
  <c r="G36" i="78"/>
  <c r="E36" i="78"/>
  <c r="D36" i="78"/>
  <c r="J35" i="78"/>
  <c r="H35" i="78"/>
  <c r="G35" i="78"/>
  <c r="E35" i="78"/>
  <c r="D35" i="78"/>
  <c r="K34" i="78"/>
  <c r="J34" i="78"/>
  <c r="H34" i="78"/>
  <c r="G34" i="78"/>
  <c r="E34" i="78"/>
  <c r="D34" i="78"/>
  <c r="K33" i="78"/>
  <c r="J33" i="78"/>
  <c r="H33" i="78"/>
  <c r="G33" i="78"/>
  <c r="E33" i="78"/>
  <c r="D33" i="78"/>
  <c r="J32" i="78"/>
  <c r="H32" i="78"/>
  <c r="G32" i="78"/>
  <c r="E32" i="78"/>
  <c r="D32" i="78"/>
  <c r="K31" i="78"/>
  <c r="J31" i="78"/>
  <c r="H31" i="78"/>
  <c r="G31" i="78"/>
  <c r="E31" i="78"/>
  <c r="D31" i="78"/>
  <c r="K25" i="78"/>
  <c r="J25" i="78"/>
  <c r="H25" i="78"/>
  <c r="G25" i="78"/>
  <c r="E25" i="78"/>
  <c r="D25" i="78"/>
  <c r="K24" i="78"/>
  <c r="J24" i="78"/>
  <c r="H24" i="78"/>
  <c r="G24" i="78"/>
  <c r="E24" i="78"/>
  <c r="D24" i="78"/>
  <c r="K23" i="78"/>
  <c r="J23" i="78"/>
  <c r="H23" i="78"/>
  <c r="G23" i="78"/>
  <c r="E23" i="78"/>
  <c r="D23" i="78"/>
  <c r="K22" i="78"/>
  <c r="J22" i="78"/>
  <c r="H22" i="78"/>
  <c r="G22" i="78"/>
  <c r="E22" i="78"/>
  <c r="D22" i="78"/>
  <c r="K21" i="78"/>
  <c r="J21" i="78"/>
  <c r="H21" i="78"/>
  <c r="G21" i="78"/>
  <c r="E21" i="78"/>
  <c r="D21" i="78"/>
  <c r="K15" i="78"/>
  <c r="J15" i="78"/>
  <c r="H15" i="78"/>
  <c r="G15" i="78"/>
  <c r="E15" i="78"/>
  <c r="D15" i="78"/>
  <c r="K14" i="78"/>
  <c r="J14" i="78"/>
  <c r="H14" i="78"/>
  <c r="G14" i="78"/>
  <c r="E14" i="78"/>
  <c r="D14" i="78"/>
  <c r="K13" i="78"/>
  <c r="J13" i="78"/>
  <c r="H13" i="78"/>
  <c r="G13" i="78"/>
  <c r="E13" i="78"/>
  <c r="D13" i="78"/>
  <c r="K12" i="78"/>
  <c r="J12" i="78"/>
  <c r="H12" i="78"/>
  <c r="G12" i="78"/>
  <c r="E12" i="78"/>
  <c r="D12" i="78"/>
  <c r="K11" i="78"/>
  <c r="J11" i="78"/>
  <c r="H11" i="78"/>
  <c r="G11" i="78"/>
  <c r="E11" i="78"/>
  <c r="D11" i="78"/>
  <c r="K10" i="78"/>
  <c r="J10" i="78"/>
  <c r="H10" i="78"/>
  <c r="G10" i="78"/>
  <c r="E10" i="78"/>
  <c r="D10" i="78"/>
  <c r="L9" i="78"/>
  <c r="H9" i="78"/>
  <c r="E9" i="78"/>
  <c r="D9" i="78"/>
  <c r="K8" i="78"/>
  <c r="J8" i="78"/>
  <c r="H8" i="78"/>
  <c r="G8" i="78"/>
  <c r="E8" i="78"/>
  <c r="D8" i="78"/>
  <c r="K7" i="78"/>
  <c r="J7" i="78"/>
  <c r="H7" i="78"/>
  <c r="G7" i="78"/>
  <c r="E7" i="78"/>
  <c r="D7" i="78"/>
  <c r="K6" i="78"/>
  <c r="J6" i="78"/>
  <c r="H6" i="78"/>
  <c r="G6" i="78"/>
  <c r="E6" i="78"/>
  <c r="D6" i="78"/>
  <c r="K65" i="83"/>
  <c r="G65" i="83"/>
  <c r="F65" i="83"/>
  <c r="D65" i="83"/>
  <c r="C65" i="83"/>
  <c r="P20" i="83"/>
  <c r="P17" i="83"/>
  <c r="P15" i="83"/>
  <c r="P9" i="83"/>
  <c r="K65" i="82"/>
  <c r="G65" i="82"/>
  <c r="F65" i="82"/>
  <c r="D65" i="82"/>
  <c r="C65" i="82"/>
  <c r="P20" i="82"/>
  <c r="H58" i="82" s="1"/>
  <c r="P17" i="82"/>
  <c r="E58" i="82" s="1"/>
  <c r="P15" i="82"/>
  <c r="P9" i="82"/>
  <c r="L9" i="82"/>
  <c r="K65" i="81"/>
  <c r="G65" i="81"/>
  <c r="F65" i="81"/>
  <c r="D65" i="81"/>
  <c r="C65" i="81"/>
  <c r="P20" i="81"/>
  <c r="H58" i="81" s="1"/>
  <c r="P17" i="81"/>
  <c r="E58" i="81" s="1"/>
  <c r="P15" i="81"/>
  <c r="P9" i="81"/>
  <c r="L9" i="81"/>
  <c r="K65" i="80"/>
  <c r="G65" i="80"/>
  <c r="F65" i="80"/>
  <c r="D65" i="80"/>
  <c r="C65" i="80"/>
  <c r="P20" i="80"/>
  <c r="H58" i="80" s="1"/>
  <c r="P17" i="80"/>
  <c r="E58" i="80" s="1"/>
  <c r="P15" i="80"/>
  <c r="P9" i="80"/>
  <c r="L9" i="80"/>
  <c r="K65" i="79"/>
  <c r="G65" i="79"/>
  <c r="F65" i="79"/>
  <c r="D65" i="79"/>
  <c r="C65" i="79"/>
  <c r="P20" i="79"/>
  <c r="H58" i="79" s="1"/>
  <c r="P17" i="79"/>
  <c r="E58" i="79" s="1"/>
  <c r="P15" i="79"/>
  <c r="P9" i="79"/>
  <c r="L9" i="79"/>
  <c r="K65" i="78"/>
  <c r="G65" i="78"/>
  <c r="F65" i="78"/>
  <c r="D65" i="78"/>
  <c r="C65" i="78"/>
  <c r="P20" i="78"/>
  <c r="H58" i="78" s="1"/>
  <c r="P17" i="78"/>
  <c r="E58" i="78" s="1"/>
  <c r="P15" i="78"/>
  <c r="P9" i="78"/>
  <c r="J57" i="75"/>
  <c r="I57" i="75"/>
  <c r="G57" i="75"/>
  <c r="F57" i="75"/>
  <c r="D57" i="75"/>
  <c r="C57" i="75"/>
  <c r="J56" i="75"/>
  <c r="I56" i="75"/>
  <c r="G56" i="75"/>
  <c r="F56" i="75"/>
  <c r="D56" i="75"/>
  <c r="D59" i="75" s="1"/>
  <c r="C56" i="75"/>
  <c r="C59" i="75" s="1"/>
  <c r="K50" i="75"/>
  <c r="J50" i="75"/>
  <c r="H50" i="75"/>
  <c r="G50" i="75"/>
  <c r="E50" i="75"/>
  <c r="D50" i="75"/>
  <c r="K49" i="75"/>
  <c r="J49" i="75"/>
  <c r="H49" i="75"/>
  <c r="G49" i="75"/>
  <c r="E49" i="75"/>
  <c r="D49" i="75"/>
  <c r="K48" i="75"/>
  <c r="J48" i="75"/>
  <c r="H48" i="75"/>
  <c r="G48" i="75"/>
  <c r="E48" i="75"/>
  <c r="D48" i="75"/>
  <c r="K47" i="75"/>
  <c r="J47" i="75"/>
  <c r="H47" i="75"/>
  <c r="G47" i="75"/>
  <c r="E47" i="75"/>
  <c r="D47" i="75"/>
  <c r="K46" i="75"/>
  <c r="J46" i="75"/>
  <c r="H46" i="75"/>
  <c r="G46" i="75"/>
  <c r="E46" i="75"/>
  <c r="E51" i="75" s="1"/>
  <c r="D46" i="75"/>
  <c r="K40" i="75"/>
  <c r="J40" i="75"/>
  <c r="H40" i="75"/>
  <c r="G40" i="75"/>
  <c r="E40" i="75"/>
  <c r="D40" i="75"/>
  <c r="J39" i="75"/>
  <c r="H39" i="75"/>
  <c r="G39" i="75"/>
  <c r="E39" i="75"/>
  <c r="D39" i="75"/>
  <c r="K38" i="75"/>
  <c r="J38" i="75"/>
  <c r="H38" i="75"/>
  <c r="G38" i="75"/>
  <c r="E38" i="75"/>
  <c r="D38" i="75"/>
  <c r="K37" i="75"/>
  <c r="J37" i="75"/>
  <c r="H37" i="75"/>
  <c r="G37" i="75"/>
  <c r="E37" i="75"/>
  <c r="D37" i="75"/>
  <c r="K36" i="75"/>
  <c r="J36" i="75"/>
  <c r="H36" i="75"/>
  <c r="G36" i="75"/>
  <c r="E36" i="75"/>
  <c r="D36" i="75"/>
  <c r="J35" i="75"/>
  <c r="H35" i="75"/>
  <c r="G35" i="75"/>
  <c r="E35" i="75"/>
  <c r="D35" i="75"/>
  <c r="K34" i="75"/>
  <c r="J34" i="75"/>
  <c r="H34" i="75"/>
  <c r="G34" i="75"/>
  <c r="E34" i="75"/>
  <c r="D34" i="75"/>
  <c r="K33" i="75"/>
  <c r="J33" i="75"/>
  <c r="H33" i="75"/>
  <c r="G33" i="75"/>
  <c r="E33" i="75"/>
  <c r="D33" i="75"/>
  <c r="J32" i="75"/>
  <c r="H32" i="75"/>
  <c r="G32" i="75"/>
  <c r="E32" i="75"/>
  <c r="D32" i="75"/>
  <c r="K31" i="75"/>
  <c r="J31" i="75"/>
  <c r="H31" i="75"/>
  <c r="G31" i="75"/>
  <c r="E31" i="75"/>
  <c r="E41" i="75" s="1"/>
  <c r="D31" i="75"/>
  <c r="K25" i="75"/>
  <c r="J25" i="75"/>
  <c r="H25" i="75"/>
  <c r="G25" i="75"/>
  <c r="E25" i="75"/>
  <c r="D25" i="75"/>
  <c r="K24" i="75"/>
  <c r="J24" i="75"/>
  <c r="H24" i="75"/>
  <c r="G24" i="75"/>
  <c r="E24" i="75"/>
  <c r="D24" i="75"/>
  <c r="K23" i="75"/>
  <c r="J23" i="75"/>
  <c r="H23" i="75"/>
  <c r="G23" i="75"/>
  <c r="E23" i="75"/>
  <c r="D23" i="75"/>
  <c r="K22" i="75"/>
  <c r="J22" i="75"/>
  <c r="H22" i="75"/>
  <c r="G22" i="75"/>
  <c r="E22" i="75"/>
  <c r="D22" i="75"/>
  <c r="K21" i="75"/>
  <c r="J21" i="75"/>
  <c r="H21" i="75"/>
  <c r="G21" i="75"/>
  <c r="E21" i="75"/>
  <c r="E26" i="75" s="1"/>
  <c r="D21" i="75"/>
  <c r="D26" i="75" s="1"/>
  <c r="K15" i="75"/>
  <c r="J15" i="75"/>
  <c r="H15" i="75"/>
  <c r="G15" i="75"/>
  <c r="E15" i="75"/>
  <c r="D15" i="75"/>
  <c r="K14" i="75"/>
  <c r="J14" i="75"/>
  <c r="H14" i="75"/>
  <c r="G14" i="75"/>
  <c r="E14" i="75"/>
  <c r="D14" i="75"/>
  <c r="K13" i="75"/>
  <c r="J13" i="75"/>
  <c r="H13" i="75"/>
  <c r="G13" i="75"/>
  <c r="E13" i="75"/>
  <c r="D13" i="75"/>
  <c r="K11" i="75"/>
  <c r="J11" i="75"/>
  <c r="H11" i="75"/>
  <c r="G11" i="75"/>
  <c r="E11" i="75"/>
  <c r="D11" i="75"/>
  <c r="K10" i="75"/>
  <c r="J10" i="75"/>
  <c r="H10" i="75"/>
  <c r="G10" i="75"/>
  <c r="E10" i="75"/>
  <c r="D10" i="75"/>
  <c r="H9" i="75"/>
  <c r="E9" i="75"/>
  <c r="D9" i="75"/>
  <c r="K7" i="75"/>
  <c r="J7" i="75"/>
  <c r="H7" i="75"/>
  <c r="G7" i="75"/>
  <c r="E7" i="75"/>
  <c r="D7" i="75"/>
  <c r="K6" i="75"/>
  <c r="J6" i="75"/>
  <c r="H6" i="75"/>
  <c r="G6" i="75"/>
  <c r="E6" i="75"/>
  <c r="D6" i="75"/>
  <c r="D16" i="75" s="1"/>
  <c r="J57" i="74"/>
  <c r="I57" i="74"/>
  <c r="G57" i="74"/>
  <c r="F57" i="74"/>
  <c r="D57" i="74"/>
  <c r="C57" i="74"/>
  <c r="J56" i="74"/>
  <c r="I56" i="74"/>
  <c r="G56" i="74"/>
  <c r="F56" i="74"/>
  <c r="D56" i="74"/>
  <c r="D59" i="74" s="1"/>
  <c r="C56" i="74"/>
  <c r="C59" i="74" s="1"/>
  <c r="K50" i="74"/>
  <c r="J50" i="74"/>
  <c r="H50" i="74"/>
  <c r="G50" i="74"/>
  <c r="E50" i="74"/>
  <c r="D50" i="74"/>
  <c r="K49" i="74"/>
  <c r="J49" i="74"/>
  <c r="H49" i="74"/>
  <c r="G49" i="74"/>
  <c r="E49" i="74"/>
  <c r="D49" i="74"/>
  <c r="K48" i="74"/>
  <c r="J48" i="74"/>
  <c r="H48" i="74"/>
  <c r="G48" i="74"/>
  <c r="E48" i="74"/>
  <c r="D48" i="74"/>
  <c r="K47" i="74"/>
  <c r="J47" i="74"/>
  <c r="H47" i="74"/>
  <c r="G47" i="74"/>
  <c r="E47" i="74"/>
  <c r="D47" i="74"/>
  <c r="K46" i="74"/>
  <c r="J46" i="74"/>
  <c r="H46" i="74"/>
  <c r="G46" i="74"/>
  <c r="E46" i="74"/>
  <c r="D46" i="74"/>
  <c r="K40" i="74"/>
  <c r="J40" i="74"/>
  <c r="H40" i="74"/>
  <c r="G40" i="74"/>
  <c r="E40" i="74"/>
  <c r="D40" i="74"/>
  <c r="J39" i="74"/>
  <c r="H39" i="74"/>
  <c r="G39" i="74"/>
  <c r="E39" i="74"/>
  <c r="D39" i="74"/>
  <c r="K38" i="74"/>
  <c r="J38" i="74"/>
  <c r="H38" i="74"/>
  <c r="G38" i="74"/>
  <c r="E38" i="74"/>
  <c r="D38" i="74"/>
  <c r="K37" i="74"/>
  <c r="J37" i="74"/>
  <c r="H37" i="74"/>
  <c r="G37" i="74"/>
  <c r="E37" i="74"/>
  <c r="D37" i="74"/>
  <c r="K36" i="74"/>
  <c r="J36" i="74"/>
  <c r="H36" i="74"/>
  <c r="G36" i="74"/>
  <c r="E36" i="74"/>
  <c r="D36" i="74"/>
  <c r="J35" i="74"/>
  <c r="H35" i="74"/>
  <c r="G35" i="74"/>
  <c r="E35" i="74"/>
  <c r="D35" i="74"/>
  <c r="K34" i="74"/>
  <c r="J34" i="74"/>
  <c r="H34" i="74"/>
  <c r="G34" i="74"/>
  <c r="E34" i="74"/>
  <c r="D34" i="74"/>
  <c r="K33" i="74"/>
  <c r="J33" i="74"/>
  <c r="H33" i="74"/>
  <c r="G33" i="74"/>
  <c r="E33" i="74"/>
  <c r="D33" i="74"/>
  <c r="J32" i="74"/>
  <c r="H32" i="74"/>
  <c r="G32" i="74"/>
  <c r="E32" i="74"/>
  <c r="D32" i="74"/>
  <c r="K31" i="74"/>
  <c r="J31" i="74"/>
  <c r="H31" i="74"/>
  <c r="G31" i="74"/>
  <c r="E31" i="74"/>
  <c r="D31" i="74"/>
  <c r="D41" i="74" s="1"/>
  <c r="K25" i="74"/>
  <c r="J25" i="74"/>
  <c r="H25" i="74"/>
  <c r="G25" i="74"/>
  <c r="E25" i="74"/>
  <c r="D25" i="74"/>
  <c r="K24" i="74"/>
  <c r="J24" i="74"/>
  <c r="H24" i="74"/>
  <c r="G24" i="74"/>
  <c r="E24" i="74"/>
  <c r="D24" i="74"/>
  <c r="K23" i="74"/>
  <c r="J23" i="74"/>
  <c r="H23" i="74"/>
  <c r="G23" i="74"/>
  <c r="E23" i="74"/>
  <c r="D23" i="74"/>
  <c r="K22" i="74"/>
  <c r="J22" i="74"/>
  <c r="H22" i="74"/>
  <c r="G22" i="74"/>
  <c r="E22" i="74"/>
  <c r="D22" i="74"/>
  <c r="K21" i="74"/>
  <c r="J21" i="74"/>
  <c r="H21" i="74"/>
  <c r="G21" i="74"/>
  <c r="E21" i="74"/>
  <c r="E26" i="74" s="1"/>
  <c r="D21" i="74"/>
  <c r="D26" i="74" s="1"/>
  <c r="K15" i="74"/>
  <c r="J15" i="74"/>
  <c r="H15" i="74"/>
  <c r="G15" i="74"/>
  <c r="E15" i="74"/>
  <c r="D15" i="74"/>
  <c r="K14" i="74"/>
  <c r="J14" i="74"/>
  <c r="H14" i="74"/>
  <c r="G14" i="74"/>
  <c r="E14" i="74"/>
  <c r="D14" i="74"/>
  <c r="K13" i="74"/>
  <c r="J13" i="74"/>
  <c r="H13" i="74"/>
  <c r="G13" i="74"/>
  <c r="E13" i="74"/>
  <c r="D13" i="74"/>
  <c r="K11" i="74"/>
  <c r="J11" i="74"/>
  <c r="H11" i="74"/>
  <c r="G11" i="74"/>
  <c r="E11" i="74"/>
  <c r="D11" i="74"/>
  <c r="K10" i="74"/>
  <c r="J10" i="74"/>
  <c r="H10" i="74"/>
  <c r="G10" i="74"/>
  <c r="E10" i="74"/>
  <c r="D10" i="74"/>
  <c r="H9" i="74"/>
  <c r="E9" i="74"/>
  <c r="D9" i="74"/>
  <c r="K8" i="74"/>
  <c r="J8" i="74"/>
  <c r="H8" i="74"/>
  <c r="G8" i="74"/>
  <c r="E8" i="74"/>
  <c r="D8" i="74"/>
  <c r="K7" i="74"/>
  <c r="J7" i="74"/>
  <c r="H7" i="74"/>
  <c r="G7" i="74"/>
  <c r="E7" i="74"/>
  <c r="D7" i="74"/>
  <c r="K6" i="74"/>
  <c r="J6" i="74"/>
  <c r="H6" i="74"/>
  <c r="G6" i="74"/>
  <c r="E6" i="74"/>
  <c r="E16" i="74" s="1"/>
  <c r="D6" i="74"/>
  <c r="J57" i="73"/>
  <c r="I57" i="73"/>
  <c r="G57" i="73"/>
  <c r="F57" i="73"/>
  <c r="D57" i="73"/>
  <c r="C57" i="73"/>
  <c r="J56" i="73"/>
  <c r="I56" i="73"/>
  <c r="G56" i="73"/>
  <c r="F56" i="73"/>
  <c r="D56" i="73"/>
  <c r="C56" i="73"/>
  <c r="K50" i="73"/>
  <c r="J50" i="73"/>
  <c r="H50" i="73"/>
  <c r="G50" i="73"/>
  <c r="E50" i="73"/>
  <c r="D50" i="73"/>
  <c r="K49" i="73"/>
  <c r="J49" i="73"/>
  <c r="H49" i="73"/>
  <c r="G49" i="73"/>
  <c r="E49" i="73"/>
  <c r="D49" i="73"/>
  <c r="K48" i="73"/>
  <c r="J48" i="73"/>
  <c r="H48" i="73"/>
  <c r="G48" i="73"/>
  <c r="E48" i="73"/>
  <c r="D48" i="73"/>
  <c r="K47" i="73"/>
  <c r="J47" i="73"/>
  <c r="H47" i="73"/>
  <c r="G47" i="73"/>
  <c r="E47" i="73"/>
  <c r="D47" i="73"/>
  <c r="K46" i="73"/>
  <c r="J46" i="73"/>
  <c r="H46" i="73"/>
  <c r="G46" i="73"/>
  <c r="E46" i="73"/>
  <c r="D46" i="73"/>
  <c r="K40" i="73"/>
  <c r="J40" i="73"/>
  <c r="H40" i="73"/>
  <c r="G40" i="73"/>
  <c r="E40" i="73"/>
  <c r="D40" i="73"/>
  <c r="J39" i="73"/>
  <c r="H39" i="73"/>
  <c r="G39" i="73"/>
  <c r="E39" i="73"/>
  <c r="D39" i="73"/>
  <c r="K38" i="73"/>
  <c r="J38" i="73"/>
  <c r="H38" i="73"/>
  <c r="G38" i="73"/>
  <c r="E38" i="73"/>
  <c r="D38" i="73"/>
  <c r="K37" i="73"/>
  <c r="J37" i="73"/>
  <c r="H37" i="73"/>
  <c r="G37" i="73"/>
  <c r="E37" i="73"/>
  <c r="D37" i="73"/>
  <c r="K36" i="73"/>
  <c r="J36" i="73"/>
  <c r="H36" i="73"/>
  <c r="G36" i="73"/>
  <c r="E36" i="73"/>
  <c r="D36" i="73"/>
  <c r="J35" i="73"/>
  <c r="H35" i="73"/>
  <c r="G35" i="73"/>
  <c r="E35" i="73"/>
  <c r="D35" i="73"/>
  <c r="K34" i="73"/>
  <c r="J34" i="73"/>
  <c r="H34" i="73"/>
  <c r="G34" i="73"/>
  <c r="E34" i="73"/>
  <c r="D34" i="73"/>
  <c r="K33" i="73"/>
  <c r="J33" i="73"/>
  <c r="H33" i="73"/>
  <c r="G33" i="73"/>
  <c r="E33" i="73"/>
  <c r="D33" i="73"/>
  <c r="J32" i="73"/>
  <c r="H32" i="73"/>
  <c r="G32" i="73"/>
  <c r="E32" i="73"/>
  <c r="D32" i="73"/>
  <c r="K31" i="73"/>
  <c r="J31" i="73"/>
  <c r="H31" i="73"/>
  <c r="G31" i="73"/>
  <c r="E31" i="73"/>
  <c r="D31" i="73"/>
  <c r="K25" i="73"/>
  <c r="J25" i="73"/>
  <c r="H25" i="73"/>
  <c r="G25" i="73"/>
  <c r="E25" i="73"/>
  <c r="D25" i="73"/>
  <c r="K24" i="73"/>
  <c r="J24" i="73"/>
  <c r="H24" i="73"/>
  <c r="G24" i="73"/>
  <c r="E24" i="73"/>
  <c r="D24" i="73"/>
  <c r="K23" i="73"/>
  <c r="J23" i="73"/>
  <c r="H23" i="73"/>
  <c r="G23" i="73"/>
  <c r="E23" i="73"/>
  <c r="D23" i="73"/>
  <c r="K22" i="73"/>
  <c r="J22" i="73"/>
  <c r="H22" i="73"/>
  <c r="G22" i="73"/>
  <c r="E22" i="73"/>
  <c r="D22" i="73"/>
  <c r="K21" i="73"/>
  <c r="J21" i="73"/>
  <c r="H21" i="73"/>
  <c r="G21" i="73"/>
  <c r="E21" i="73"/>
  <c r="D21" i="73"/>
  <c r="K15" i="73"/>
  <c r="J15" i="73"/>
  <c r="H15" i="73"/>
  <c r="G15" i="73"/>
  <c r="E15" i="73"/>
  <c r="D15" i="73"/>
  <c r="K14" i="73"/>
  <c r="J14" i="73"/>
  <c r="H14" i="73"/>
  <c r="G14" i="73"/>
  <c r="E14" i="73"/>
  <c r="D14" i="73"/>
  <c r="K13" i="73"/>
  <c r="J13" i="73"/>
  <c r="H13" i="73"/>
  <c r="G13" i="73"/>
  <c r="E13" i="73"/>
  <c r="D13" i="73"/>
  <c r="K11" i="73"/>
  <c r="J11" i="73"/>
  <c r="H11" i="73"/>
  <c r="G11" i="73"/>
  <c r="E11" i="73"/>
  <c r="D11" i="73"/>
  <c r="K10" i="73"/>
  <c r="J10" i="73"/>
  <c r="H10" i="73"/>
  <c r="G10" i="73"/>
  <c r="E10" i="73"/>
  <c r="D10" i="73"/>
  <c r="H9" i="73"/>
  <c r="E9" i="73"/>
  <c r="D9" i="73"/>
  <c r="K8" i="73"/>
  <c r="J8" i="73"/>
  <c r="H8" i="73"/>
  <c r="G8" i="73"/>
  <c r="E8" i="73"/>
  <c r="D8" i="73"/>
  <c r="K7" i="73"/>
  <c r="J7" i="73"/>
  <c r="H7" i="73"/>
  <c r="G7" i="73"/>
  <c r="E7" i="73"/>
  <c r="D7" i="73"/>
  <c r="K6" i="73"/>
  <c r="J6" i="73"/>
  <c r="H6" i="73"/>
  <c r="G6" i="73"/>
  <c r="E6" i="73"/>
  <c r="D6" i="73"/>
  <c r="J57" i="66"/>
  <c r="I57" i="66"/>
  <c r="G57" i="66"/>
  <c r="F57" i="66"/>
  <c r="D57" i="66"/>
  <c r="C57" i="66"/>
  <c r="J56" i="66"/>
  <c r="I56" i="66"/>
  <c r="G56" i="66"/>
  <c r="F56" i="66"/>
  <c r="D56" i="66"/>
  <c r="D59" i="66" s="1"/>
  <c r="C56" i="66"/>
  <c r="C59" i="66" s="1"/>
  <c r="K50" i="66"/>
  <c r="J50" i="66"/>
  <c r="H50" i="66"/>
  <c r="G50" i="66"/>
  <c r="E50" i="66"/>
  <c r="D50" i="66"/>
  <c r="K49" i="66"/>
  <c r="J49" i="66"/>
  <c r="H49" i="66"/>
  <c r="G49" i="66"/>
  <c r="E49" i="66"/>
  <c r="D49" i="66"/>
  <c r="K48" i="66"/>
  <c r="J48" i="66"/>
  <c r="H48" i="66"/>
  <c r="G48" i="66"/>
  <c r="E48" i="66"/>
  <c r="D48" i="66"/>
  <c r="K47" i="66"/>
  <c r="J47" i="66"/>
  <c r="H47" i="66"/>
  <c r="G47" i="66"/>
  <c r="E47" i="66"/>
  <c r="D47" i="66"/>
  <c r="K46" i="66"/>
  <c r="J46" i="66"/>
  <c r="H46" i="66"/>
  <c r="G46" i="66"/>
  <c r="E46" i="66"/>
  <c r="E51" i="66" s="1"/>
  <c r="D46" i="66"/>
  <c r="D51" i="66" s="1"/>
  <c r="K40" i="66"/>
  <c r="J40" i="66"/>
  <c r="H40" i="66"/>
  <c r="G40" i="66"/>
  <c r="E40" i="66"/>
  <c r="D40" i="66"/>
  <c r="J39" i="66"/>
  <c r="H39" i="66"/>
  <c r="G39" i="66"/>
  <c r="E39" i="66"/>
  <c r="D39" i="66"/>
  <c r="K38" i="66"/>
  <c r="J38" i="66"/>
  <c r="H38" i="66"/>
  <c r="G38" i="66"/>
  <c r="E38" i="66"/>
  <c r="D38" i="66"/>
  <c r="K37" i="66"/>
  <c r="J37" i="66"/>
  <c r="H37" i="66"/>
  <c r="G37" i="66"/>
  <c r="E37" i="66"/>
  <c r="D37" i="66"/>
  <c r="K36" i="66"/>
  <c r="J36" i="66"/>
  <c r="H36" i="66"/>
  <c r="G36" i="66"/>
  <c r="E36" i="66"/>
  <c r="D36" i="66"/>
  <c r="J35" i="66"/>
  <c r="H35" i="66"/>
  <c r="G35" i="66"/>
  <c r="E35" i="66"/>
  <c r="D35" i="66"/>
  <c r="K34" i="66"/>
  <c r="J34" i="66"/>
  <c r="H34" i="66"/>
  <c r="G34" i="66"/>
  <c r="E34" i="66"/>
  <c r="D34" i="66"/>
  <c r="K33" i="66"/>
  <c r="J33" i="66"/>
  <c r="H33" i="66"/>
  <c r="G33" i="66"/>
  <c r="E33" i="66"/>
  <c r="D33" i="66"/>
  <c r="J32" i="66"/>
  <c r="H32" i="66"/>
  <c r="G32" i="66"/>
  <c r="E32" i="66"/>
  <c r="D32" i="66"/>
  <c r="K31" i="66"/>
  <c r="J31" i="66"/>
  <c r="H31" i="66"/>
  <c r="G31" i="66"/>
  <c r="E31" i="66"/>
  <c r="D31" i="66"/>
  <c r="D41" i="66" s="1"/>
  <c r="K25" i="66"/>
  <c r="J25" i="66"/>
  <c r="H25" i="66"/>
  <c r="G25" i="66"/>
  <c r="E25" i="66"/>
  <c r="D25" i="66"/>
  <c r="K24" i="66"/>
  <c r="J24" i="66"/>
  <c r="H24" i="66"/>
  <c r="G24" i="66"/>
  <c r="E24" i="66"/>
  <c r="D24" i="66"/>
  <c r="K23" i="66"/>
  <c r="J23" i="66"/>
  <c r="H23" i="66"/>
  <c r="G23" i="66"/>
  <c r="E23" i="66"/>
  <c r="D23" i="66"/>
  <c r="K22" i="66"/>
  <c r="J22" i="66"/>
  <c r="H22" i="66"/>
  <c r="G22" i="66"/>
  <c r="E22" i="66"/>
  <c r="D22" i="66"/>
  <c r="K21" i="66"/>
  <c r="J21" i="66"/>
  <c r="H21" i="66"/>
  <c r="G21" i="66"/>
  <c r="E21" i="66"/>
  <c r="E26" i="66" s="1"/>
  <c r="D21" i="66"/>
  <c r="D26" i="66" s="1"/>
  <c r="K15" i="66"/>
  <c r="J15" i="66"/>
  <c r="H15" i="66"/>
  <c r="G15" i="66"/>
  <c r="E15" i="66"/>
  <c r="D15" i="66"/>
  <c r="K14" i="66"/>
  <c r="J14" i="66"/>
  <c r="H14" i="66"/>
  <c r="G14" i="66"/>
  <c r="E14" i="66"/>
  <c r="D14" i="66"/>
  <c r="K13" i="66"/>
  <c r="J13" i="66"/>
  <c r="H13" i="66"/>
  <c r="G13" i="66"/>
  <c r="E13" i="66"/>
  <c r="D13" i="66"/>
  <c r="K12" i="66"/>
  <c r="J12" i="66"/>
  <c r="H12" i="66"/>
  <c r="G12" i="66"/>
  <c r="E12" i="66"/>
  <c r="D12" i="66"/>
  <c r="K11" i="66"/>
  <c r="J11" i="66"/>
  <c r="H11" i="66"/>
  <c r="G11" i="66"/>
  <c r="E11" i="66"/>
  <c r="D11" i="66"/>
  <c r="K10" i="66"/>
  <c r="J10" i="66"/>
  <c r="H10" i="66"/>
  <c r="G10" i="66"/>
  <c r="E10" i="66"/>
  <c r="D10" i="66"/>
  <c r="H9" i="66"/>
  <c r="E9" i="66"/>
  <c r="D9" i="66"/>
  <c r="K8" i="66"/>
  <c r="J8" i="66"/>
  <c r="H8" i="66"/>
  <c r="G8" i="66"/>
  <c r="E8" i="66"/>
  <c r="D8" i="66"/>
  <c r="K7" i="66"/>
  <c r="J7" i="66"/>
  <c r="H7" i="66"/>
  <c r="G7" i="66"/>
  <c r="E7" i="66"/>
  <c r="D7" i="66"/>
  <c r="K6" i="66"/>
  <c r="J6" i="66"/>
  <c r="H6" i="66"/>
  <c r="G6" i="66"/>
  <c r="E6" i="66"/>
  <c r="E16" i="66" s="1"/>
  <c r="D6" i="66"/>
  <c r="J57" i="68"/>
  <c r="I57" i="68"/>
  <c r="G57" i="68"/>
  <c r="F57" i="68"/>
  <c r="D57" i="68"/>
  <c r="C57" i="68"/>
  <c r="J56" i="68"/>
  <c r="I56" i="68"/>
  <c r="G56" i="68"/>
  <c r="F56" i="68"/>
  <c r="D56" i="68"/>
  <c r="D59" i="68" s="1"/>
  <c r="C56" i="68"/>
  <c r="C59" i="68" s="1"/>
  <c r="K50" i="68"/>
  <c r="J50" i="68"/>
  <c r="H50" i="68"/>
  <c r="G50" i="68"/>
  <c r="E50" i="68"/>
  <c r="D50" i="68"/>
  <c r="K49" i="68"/>
  <c r="J49" i="68"/>
  <c r="H49" i="68"/>
  <c r="G49" i="68"/>
  <c r="E49" i="68"/>
  <c r="D49" i="68"/>
  <c r="K48" i="68"/>
  <c r="J48" i="68"/>
  <c r="H48" i="68"/>
  <c r="G48" i="68"/>
  <c r="E48" i="68"/>
  <c r="D48" i="68"/>
  <c r="K47" i="68"/>
  <c r="J47" i="68"/>
  <c r="H47" i="68"/>
  <c r="G47" i="68"/>
  <c r="E47" i="68"/>
  <c r="D47" i="68"/>
  <c r="K46" i="68"/>
  <c r="J46" i="68"/>
  <c r="H46" i="68"/>
  <c r="G46" i="68"/>
  <c r="E46" i="68"/>
  <c r="E51" i="68" s="1"/>
  <c r="D46" i="68"/>
  <c r="D51" i="68" s="1"/>
  <c r="K40" i="68"/>
  <c r="J40" i="68"/>
  <c r="H40" i="68"/>
  <c r="G40" i="68"/>
  <c r="E40" i="68"/>
  <c r="D40" i="68"/>
  <c r="J39" i="68"/>
  <c r="H39" i="68"/>
  <c r="G39" i="68"/>
  <c r="E39" i="68"/>
  <c r="D39" i="68"/>
  <c r="K38" i="68"/>
  <c r="J38" i="68"/>
  <c r="H38" i="68"/>
  <c r="G38" i="68"/>
  <c r="E38" i="68"/>
  <c r="D38" i="68"/>
  <c r="K37" i="68"/>
  <c r="J37" i="68"/>
  <c r="H37" i="68"/>
  <c r="G37" i="68"/>
  <c r="E37" i="68"/>
  <c r="D37" i="68"/>
  <c r="K36" i="68"/>
  <c r="J36" i="68"/>
  <c r="H36" i="68"/>
  <c r="G36" i="68"/>
  <c r="E36" i="68"/>
  <c r="D36" i="68"/>
  <c r="J35" i="68"/>
  <c r="H35" i="68"/>
  <c r="G35" i="68"/>
  <c r="E35" i="68"/>
  <c r="D35" i="68"/>
  <c r="K34" i="68"/>
  <c r="J34" i="68"/>
  <c r="H34" i="68"/>
  <c r="G34" i="68"/>
  <c r="E34" i="68"/>
  <c r="D34" i="68"/>
  <c r="K33" i="68"/>
  <c r="J33" i="68"/>
  <c r="H33" i="68"/>
  <c r="G33" i="68"/>
  <c r="E33" i="68"/>
  <c r="D33" i="68"/>
  <c r="J32" i="68"/>
  <c r="H32" i="68"/>
  <c r="G32" i="68"/>
  <c r="E32" i="68"/>
  <c r="D32" i="68"/>
  <c r="K31" i="68"/>
  <c r="J31" i="68"/>
  <c r="H31" i="68"/>
  <c r="G31" i="68"/>
  <c r="E31" i="68"/>
  <c r="E41" i="68" s="1"/>
  <c r="D31" i="68"/>
  <c r="D41" i="68" s="1"/>
  <c r="K25" i="68"/>
  <c r="J25" i="68"/>
  <c r="H25" i="68"/>
  <c r="G25" i="68"/>
  <c r="E25" i="68"/>
  <c r="D25" i="68"/>
  <c r="K24" i="68"/>
  <c r="J24" i="68"/>
  <c r="H24" i="68"/>
  <c r="G24" i="68"/>
  <c r="E24" i="68"/>
  <c r="D24" i="68"/>
  <c r="K23" i="68"/>
  <c r="J23" i="68"/>
  <c r="H23" i="68"/>
  <c r="G23" i="68"/>
  <c r="E23" i="68"/>
  <c r="D23" i="68"/>
  <c r="K22" i="68"/>
  <c r="J22" i="68"/>
  <c r="H22" i="68"/>
  <c r="G22" i="68"/>
  <c r="E22" i="68"/>
  <c r="D22" i="68"/>
  <c r="K21" i="68"/>
  <c r="J21" i="68"/>
  <c r="H21" i="68"/>
  <c r="G21" i="68"/>
  <c r="E21" i="68"/>
  <c r="E26" i="68" s="1"/>
  <c r="D21" i="68"/>
  <c r="D26" i="68" s="1"/>
  <c r="K15" i="68"/>
  <c r="J15" i="68"/>
  <c r="H15" i="68"/>
  <c r="G15" i="68"/>
  <c r="E15" i="68"/>
  <c r="D15" i="68"/>
  <c r="K14" i="68"/>
  <c r="J14" i="68"/>
  <c r="H14" i="68"/>
  <c r="G14" i="68"/>
  <c r="E14" i="68"/>
  <c r="D14" i="68"/>
  <c r="K13" i="68"/>
  <c r="J13" i="68"/>
  <c r="H13" i="68"/>
  <c r="G13" i="68"/>
  <c r="E13" i="68"/>
  <c r="D13" i="68"/>
  <c r="K12" i="68"/>
  <c r="J12" i="68"/>
  <c r="H12" i="68"/>
  <c r="G12" i="68"/>
  <c r="E12" i="68"/>
  <c r="D12" i="68"/>
  <c r="K11" i="68"/>
  <c r="J11" i="68"/>
  <c r="H11" i="68"/>
  <c r="G11" i="68"/>
  <c r="E11" i="68"/>
  <c r="D11" i="68"/>
  <c r="K10" i="68"/>
  <c r="J10" i="68"/>
  <c r="H10" i="68"/>
  <c r="G10" i="68"/>
  <c r="E10" i="68"/>
  <c r="D10" i="68"/>
  <c r="H9" i="68"/>
  <c r="E9" i="68"/>
  <c r="D9" i="68"/>
  <c r="K8" i="68"/>
  <c r="J8" i="68"/>
  <c r="H8" i="68"/>
  <c r="G8" i="68"/>
  <c r="E8" i="68"/>
  <c r="D8" i="68"/>
  <c r="K7" i="68"/>
  <c r="J7" i="68"/>
  <c r="H7" i="68"/>
  <c r="G7" i="68"/>
  <c r="E7" i="68"/>
  <c r="D7" i="68"/>
  <c r="K6" i="68"/>
  <c r="J6" i="68"/>
  <c r="H6" i="68"/>
  <c r="G6" i="68"/>
  <c r="E6" i="68"/>
  <c r="E16" i="68" s="1"/>
  <c r="D6" i="68"/>
  <c r="J57" i="72"/>
  <c r="I57" i="72"/>
  <c r="G57" i="72"/>
  <c r="F57" i="72"/>
  <c r="D57" i="72"/>
  <c r="C57" i="72"/>
  <c r="J56" i="72"/>
  <c r="I56" i="72"/>
  <c r="G56" i="72"/>
  <c r="F56" i="72"/>
  <c r="D56" i="72"/>
  <c r="D59" i="72" s="1"/>
  <c r="C56" i="72"/>
  <c r="C59" i="72" s="1"/>
  <c r="K50" i="72"/>
  <c r="J50" i="72"/>
  <c r="H50" i="72"/>
  <c r="G50" i="72"/>
  <c r="E50" i="72"/>
  <c r="D50" i="72"/>
  <c r="K49" i="72"/>
  <c r="J49" i="72"/>
  <c r="H49" i="72"/>
  <c r="G49" i="72"/>
  <c r="E49" i="72"/>
  <c r="D49" i="72"/>
  <c r="K48" i="72"/>
  <c r="J48" i="72"/>
  <c r="H48" i="72"/>
  <c r="G48" i="72"/>
  <c r="E48" i="72"/>
  <c r="D48" i="72"/>
  <c r="K47" i="72"/>
  <c r="J47" i="72"/>
  <c r="H47" i="72"/>
  <c r="G47" i="72"/>
  <c r="E47" i="72"/>
  <c r="D47" i="72"/>
  <c r="K46" i="72"/>
  <c r="J46" i="72"/>
  <c r="H46" i="72"/>
  <c r="G46" i="72"/>
  <c r="E46" i="72"/>
  <c r="E51" i="72" s="1"/>
  <c r="D46" i="72"/>
  <c r="K40" i="72"/>
  <c r="J40" i="72"/>
  <c r="H40" i="72"/>
  <c r="G40" i="72"/>
  <c r="E40" i="72"/>
  <c r="D40" i="72"/>
  <c r="J39" i="72"/>
  <c r="H39" i="72"/>
  <c r="G39" i="72"/>
  <c r="E39" i="72"/>
  <c r="D39" i="72"/>
  <c r="K38" i="72"/>
  <c r="J38" i="72"/>
  <c r="H38" i="72"/>
  <c r="G38" i="72"/>
  <c r="E38" i="72"/>
  <c r="D38" i="72"/>
  <c r="K37" i="72"/>
  <c r="J37" i="72"/>
  <c r="H37" i="72"/>
  <c r="G37" i="72"/>
  <c r="E37" i="72"/>
  <c r="D37" i="72"/>
  <c r="K36" i="72"/>
  <c r="J36" i="72"/>
  <c r="H36" i="72"/>
  <c r="G36" i="72"/>
  <c r="E36" i="72"/>
  <c r="D36" i="72"/>
  <c r="J35" i="72"/>
  <c r="H35" i="72"/>
  <c r="G35" i="72"/>
  <c r="E35" i="72"/>
  <c r="D35" i="72"/>
  <c r="K34" i="72"/>
  <c r="J34" i="72"/>
  <c r="H34" i="72"/>
  <c r="G34" i="72"/>
  <c r="E34" i="72"/>
  <c r="D34" i="72"/>
  <c r="K33" i="72"/>
  <c r="J33" i="72"/>
  <c r="H33" i="72"/>
  <c r="G33" i="72"/>
  <c r="E33" i="72"/>
  <c r="D33" i="72"/>
  <c r="J32" i="72"/>
  <c r="H32" i="72"/>
  <c r="G32" i="72"/>
  <c r="E32" i="72"/>
  <c r="D32" i="72"/>
  <c r="K31" i="72"/>
  <c r="J31" i="72"/>
  <c r="H31" i="72"/>
  <c r="G31" i="72"/>
  <c r="E31" i="72"/>
  <c r="E41" i="72" s="1"/>
  <c r="D31" i="72"/>
  <c r="K25" i="72"/>
  <c r="J25" i="72"/>
  <c r="H25" i="72"/>
  <c r="G25" i="72"/>
  <c r="E25" i="72"/>
  <c r="D25" i="72"/>
  <c r="K24" i="72"/>
  <c r="J24" i="72"/>
  <c r="H24" i="72"/>
  <c r="G24" i="72"/>
  <c r="E24" i="72"/>
  <c r="D24" i="72"/>
  <c r="K23" i="72"/>
  <c r="J23" i="72"/>
  <c r="H23" i="72"/>
  <c r="G23" i="72"/>
  <c r="E23" i="72"/>
  <c r="D23" i="72"/>
  <c r="K22" i="72"/>
  <c r="J22" i="72"/>
  <c r="H22" i="72"/>
  <c r="G22" i="72"/>
  <c r="E22" i="72"/>
  <c r="D22" i="72"/>
  <c r="K21" i="72"/>
  <c r="J21" i="72"/>
  <c r="H21" i="72"/>
  <c r="G21" i="72"/>
  <c r="E21" i="72"/>
  <c r="E26" i="72" s="1"/>
  <c r="D21" i="72"/>
  <c r="D26" i="72" s="1"/>
  <c r="K15" i="72"/>
  <c r="J15" i="72"/>
  <c r="H15" i="72"/>
  <c r="G15" i="72"/>
  <c r="E15" i="72"/>
  <c r="D15" i="72"/>
  <c r="K14" i="72"/>
  <c r="J14" i="72"/>
  <c r="H14" i="72"/>
  <c r="G14" i="72"/>
  <c r="E14" i="72"/>
  <c r="D14" i="72"/>
  <c r="K13" i="72"/>
  <c r="J13" i="72"/>
  <c r="H13" i="72"/>
  <c r="G13" i="72"/>
  <c r="E13" i="72"/>
  <c r="D13" i="72"/>
  <c r="K12" i="72"/>
  <c r="J12" i="72"/>
  <c r="H12" i="72"/>
  <c r="G12" i="72"/>
  <c r="E12" i="72"/>
  <c r="D12" i="72"/>
  <c r="K11" i="72"/>
  <c r="J11" i="72"/>
  <c r="H11" i="72"/>
  <c r="G11" i="72"/>
  <c r="E11" i="72"/>
  <c r="D11" i="72"/>
  <c r="K10" i="72"/>
  <c r="J10" i="72"/>
  <c r="H10" i="72"/>
  <c r="G10" i="72"/>
  <c r="E10" i="72"/>
  <c r="D10" i="72"/>
  <c r="H9" i="72"/>
  <c r="E9" i="72"/>
  <c r="D9" i="72"/>
  <c r="K8" i="72"/>
  <c r="J8" i="72"/>
  <c r="H8" i="72"/>
  <c r="G8" i="72"/>
  <c r="E8" i="72"/>
  <c r="D8" i="72"/>
  <c r="K7" i="72"/>
  <c r="J7" i="72"/>
  <c r="H7" i="72"/>
  <c r="G7" i="72"/>
  <c r="E7" i="72"/>
  <c r="D7" i="72"/>
  <c r="K6" i="72"/>
  <c r="J6" i="72"/>
  <c r="H6" i="72"/>
  <c r="G6" i="72"/>
  <c r="E6" i="72"/>
  <c r="D6" i="72"/>
  <c r="D16" i="72" s="1"/>
  <c r="J57" i="70"/>
  <c r="I57" i="70"/>
  <c r="G57" i="70"/>
  <c r="F57" i="70"/>
  <c r="D57" i="70"/>
  <c r="C57" i="70"/>
  <c r="J56" i="70"/>
  <c r="I56" i="70"/>
  <c r="G56" i="70"/>
  <c r="F56" i="70"/>
  <c r="D56" i="70"/>
  <c r="C56" i="70"/>
  <c r="K50" i="70"/>
  <c r="J50" i="70"/>
  <c r="H50" i="70"/>
  <c r="G50" i="70"/>
  <c r="E50" i="70"/>
  <c r="D50" i="70"/>
  <c r="K49" i="70"/>
  <c r="J49" i="70"/>
  <c r="H49" i="70"/>
  <c r="G49" i="70"/>
  <c r="E49" i="70"/>
  <c r="D49" i="70"/>
  <c r="K48" i="70"/>
  <c r="J48" i="70"/>
  <c r="H48" i="70"/>
  <c r="G48" i="70"/>
  <c r="E48" i="70"/>
  <c r="D48" i="70"/>
  <c r="K47" i="70"/>
  <c r="J47" i="70"/>
  <c r="H47" i="70"/>
  <c r="G47" i="70"/>
  <c r="E47" i="70"/>
  <c r="D47" i="70"/>
  <c r="K46" i="70"/>
  <c r="J46" i="70"/>
  <c r="H46" i="70"/>
  <c r="G46" i="70"/>
  <c r="E46" i="70"/>
  <c r="D46" i="70"/>
  <c r="K40" i="70"/>
  <c r="J40" i="70"/>
  <c r="H40" i="70"/>
  <c r="G40" i="70"/>
  <c r="E40" i="70"/>
  <c r="D40" i="70"/>
  <c r="J39" i="70"/>
  <c r="H39" i="70"/>
  <c r="G39" i="70"/>
  <c r="E39" i="70"/>
  <c r="D39" i="70"/>
  <c r="K38" i="70"/>
  <c r="J38" i="70"/>
  <c r="H38" i="70"/>
  <c r="G38" i="70"/>
  <c r="E38" i="70"/>
  <c r="D38" i="70"/>
  <c r="K37" i="70"/>
  <c r="J37" i="70"/>
  <c r="H37" i="70"/>
  <c r="G37" i="70"/>
  <c r="E37" i="70"/>
  <c r="D37" i="70"/>
  <c r="K36" i="70"/>
  <c r="J36" i="70"/>
  <c r="H36" i="70"/>
  <c r="G36" i="70"/>
  <c r="E36" i="70"/>
  <c r="D36" i="70"/>
  <c r="J35" i="70"/>
  <c r="H35" i="70"/>
  <c r="G35" i="70"/>
  <c r="E35" i="70"/>
  <c r="D35" i="70"/>
  <c r="K34" i="70"/>
  <c r="J34" i="70"/>
  <c r="H34" i="70"/>
  <c r="G34" i="70"/>
  <c r="E34" i="70"/>
  <c r="D34" i="70"/>
  <c r="K33" i="70"/>
  <c r="J33" i="70"/>
  <c r="H33" i="70"/>
  <c r="G33" i="70"/>
  <c r="E33" i="70"/>
  <c r="D33" i="70"/>
  <c r="J32" i="70"/>
  <c r="H32" i="70"/>
  <c r="G32" i="70"/>
  <c r="E32" i="70"/>
  <c r="D32" i="70"/>
  <c r="K31" i="70"/>
  <c r="J31" i="70"/>
  <c r="H31" i="70"/>
  <c r="G31" i="70"/>
  <c r="E31" i="70"/>
  <c r="D31" i="70"/>
  <c r="K25" i="70"/>
  <c r="J25" i="70"/>
  <c r="H25" i="70"/>
  <c r="G25" i="70"/>
  <c r="E25" i="70"/>
  <c r="D25" i="70"/>
  <c r="K24" i="70"/>
  <c r="J24" i="70"/>
  <c r="H24" i="70"/>
  <c r="G24" i="70"/>
  <c r="E24" i="70"/>
  <c r="D24" i="70"/>
  <c r="K23" i="70"/>
  <c r="J23" i="70"/>
  <c r="H23" i="70"/>
  <c r="G23" i="70"/>
  <c r="E23" i="70"/>
  <c r="D23" i="70"/>
  <c r="K22" i="70"/>
  <c r="J22" i="70"/>
  <c r="H22" i="70"/>
  <c r="G22" i="70"/>
  <c r="E22" i="70"/>
  <c r="D22" i="70"/>
  <c r="K21" i="70"/>
  <c r="J21" i="70"/>
  <c r="H21" i="70"/>
  <c r="G21" i="70"/>
  <c r="E21" i="70"/>
  <c r="D21" i="70"/>
  <c r="K15" i="70"/>
  <c r="J15" i="70"/>
  <c r="H15" i="70"/>
  <c r="G15" i="70"/>
  <c r="E15" i="70"/>
  <c r="D15" i="70"/>
  <c r="K14" i="70"/>
  <c r="J14" i="70"/>
  <c r="H14" i="70"/>
  <c r="G14" i="70"/>
  <c r="E14" i="70"/>
  <c r="D14" i="70"/>
  <c r="K13" i="70"/>
  <c r="J13" i="70"/>
  <c r="H13" i="70"/>
  <c r="G13" i="70"/>
  <c r="E13" i="70"/>
  <c r="D13" i="70"/>
  <c r="K11" i="70"/>
  <c r="J11" i="70"/>
  <c r="H11" i="70"/>
  <c r="G11" i="70"/>
  <c r="E11" i="70"/>
  <c r="D11" i="70"/>
  <c r="K10" i="70"/>
  <c r="J10" i="70"/>
  <c r="H10" i="70"/>
  <c r="G10" i="70"/>
  <c r="E10" i="70"/>
  <c r="D10" i="70"/>
  <c r="L9" i="70"/>
  <c r="H9" i="70"/>
  <c r="E9" i="70"/>
  <c r="D9" i="70"/>
  <c r="K8" i="70"/>
  <c r="J8" i="70"/>
  <c r="H8" i="70"/>
  <c r="G8" i="70"/>
  <c r="E8" i="70"/>
  <c r="D8" i="70"/>
  <c r="K7" i="70"/>
  <c r="J7" i="70"/>
  <c r="H7" i="70"/>
  <c r="G7" i="70"/>
  <c r="E7" i="70"/>
  <c r="D7" i="70"/>
  <c r="K6" i="70"/>
  <c r="J6" i="70"/>
  <c r="H6" i="70"/>
  <c r="G6" i="70"/>
  <c r="E6" i="70"/>
  <c r="D6" i="70"/>
  <c r="K65" i="77"/>
  <c r="G65" i="77"/>
  <c r="F65" i="77"/>
  <c r="D65" i="77"/>
  <c r="C65" i="77"/>
  <c r="P20" i="77"/>
  <c r="P17" i="77"/>
  <c r="E58" i="77" s="1"/>
  <c r="P15" i="77"/>
  <c r="P9" i="77"/>
  <c r="L9" i="77"/>
  <c r="K65" i="76"/>
  <c r="G65" i="76"/>
  <c r="F65" i="76"/>
  <c r="D65" i="76"/>
  <c r="C65" i="76"/>
  <c r="P20" i="76"/>
  <c r="H58" i="76" s="1"/>
  <c r="P17" i="76"/>
  <c r="E58" i="76" s="1"/>
  <c r="P15" i="76"/>
  <c r="P9" i="76"/>
  <c r="L9" i="76"/>
  <c r="K65" i="75"/>
  <c r="G65" i="75"/>
  <c r="F65" i="75"/>
  <c r="D65" i="75"/>
  <c r="C65" i="75"/>
  <c r="P20" i="75"/>
  <c r="H58" i="75" s="1"/>
  <c r="P17" i="75"/>
  <c r="E58" i="75" s="1"/>
  <c r="P15" i="75"/>
  <c r="P9" i="75"/>
  <c r="L9" i="75"/>
  <c r="K65" i="74"/>
  <c r="G65" i="74"/>
  <c r="F65" i="74"/>
  <c r="D65" i="74"/>
  <c r="C65" i="74"/>
  <c r="P20" i="74"/>
  <c r="H58" i="74" s="1"/>
  <c r="P17" i="74"/>
  <c r="E58" i="74" s="1"/>
  <c r="P9" i="74"/>
  <c r="L9" i="74"/>
  <c r="K65" i="73"/>
  <c r="G65" i="73"/>
  <c r="F65" i="73"/>
  <c r="D65" i="73"/>
  <c r="C65" i="73"/>
  <c r="P20" i="73"/>
  <c r="H58" i="73" s="1"/>
  <c r="P17" i="73"/>
  <c r="E58" i="73" s="1"/>
  <c r="P15" i="73"/>
  <c r="P9" i="73"/>
  <c r="L9" i="73"/>
  <c r="J57" i="69"/>
  <c r="I57" i="69"/>
  <c r="G57" i="69"/>
  <c r="F57" i="69"/>
  <c r="D57" i="69"/>
  <c r="C57" i="69"/>
  <c r="J56" i="69"/>
  <c r="I56" i="69"/>
  <c r="G56" i="69"/>
  <c r="F56" i="69"/>
  <c r="D56" i="69"/>
  <c r="D59" i="69" s="1"/>
  <c r="C56" i="69"/>
  <c r="C59" i="69" s="1"/>
  <c r="K50" i="69"/>
  <c r="J50" i="69"/>
  <c r="H50" i="69"/>
  <c r="G50" i="69"/>
  <c r="E50" i="69"/>
  <c r="D50" i="69"/>
  <c r="K49" i="69"/>
  <c r="J49" i="69"/>
  <c r="H49" i="69"/>
  <c r="G49" i="69"/>
  <c r="E49" i="69"/>
  <c r="D49" i="69"/>
  <c r="K48" i="69"/>
  <c r="J48" i="69"/>
  <c r="H48" i="69"/>
  <c r="G48" i="69"/>
  <c r="E48" i="69"/>
  <c r="D48" i="69"/>
  <c r="K47" i="69"/>
  <c r="J47" i="69"/>
  <c r="H47" i="69"/>
  <c r="G47" i="69"/>
  <c r="E47" i="69"/>
  <c r="D47" i="69"/>
  <c r="K46" i="69"/>
  <c r="J46" i="69"/>
  <c r="H46" i="69"/>
  <c r="G46" i="69"/>
  <c r="E46" i="69"/>
  <c r="E51" i="69" s="1"/>
  <c r="D46" i="69"/>
  <c r="D51" i="69" s="1"/>
  <c r="K40" i="69"/>
  <c r="J40" i="69"/>
  <c r="H40" i="69"/>
  <c r="G40" i="69"/>
  <c r="E40" i="69"/>
  <c r="D40" i="69"/>
  <c r="J39" i="69"/>
  <c r="H39" i="69"/>
  <c r="G39" i="69"/>
  <c r="E39" i="69"/>
  <c r="D39" i="69"/>
  <c r="K38" i="69"/>
  <c r="J38" i="69"/>
  <c r="H38" i="69"/>
  <c r="G38" i="69"/>
  <c r="E38" i="69"/>
  <c r="D38" i="69"/>
  <c r="K37" i="69"/>
  <c r="J37" i="69"/>
  <c r="H37" i="69"/>
  <c r="G37" i="69"/>
  <c r="E37" i="69"/>
  <c r="D37" i="69"/>
  <c r="K36" i="69"/>
  <c r="J36" i="69"/>
  <c r="H36" i="69"/>
  <c r="G36" i="69"/>
  <c r="E36" i="69"/>
  <c r="D36" i="69"/>
  <c r="J35" i="69"/>
  <c r="H35" i="69"/>
  <c r="G35" i="69"/>
  <c r="E35" i="69"/>
  <c r="D35" i="69"/>
  <c r="K34" i="69"/>
  <c r="J34" i="69"/>
  <c r="H34" i="69"/>
  <c r="G34" i="69"/>
  <c r="E34" i="69"/>
  <c r="D34" i="69"/>
  <c r="K33" i="69"/>
  <c r="J33" i="69"/>
  <c r="H33" i="69"/>
  <c r="G33" i="69"/>
  <c r="E33" i="69"/>
  <c r="D33" i="69"/>
  <c r="J32" i="69"/>
  <c r="H32" i="69"/>
  <c r="G32" i="69"/>
  <c r="E32" i="69"/>
  <c r="D32" i="69"/>
  <c r="K31" i="69"/>
  <c r="J31" i="69"/>
  <c r="H31" i="69"/>
  <c r="G31" i="69"/>
  <c r="E31" i="69"/>
  <c r="E41" i="69" s="1"/>
  <c r="D31" i="69"/>
  <c r="D41" i="69" s="1"/>
  <c r="K25" i="69"/>
  <c r="J25" i="69"/>
  <c r="H25" i="69"/>
  <c r="G25" i="69"/>
  <c r="E25" i="69"/>
  <c r="D25" i="69"/>
  <c r="K24" i="69"/>
  <c r="J24" i="69"/>
  <c r="H24" i="69"/>
  <c r="G24" i="69"/>
  <c r="E24" i="69"/>
  <c r="D24" i="69"/>
  <c r="K23" i="69"/>
  <c r="J23" i="69"/>
  <c r="H23" i="69"/>
  <c r="G23" i="69"/>
  <c r="E23" i="69"/>
  <c r="D23" i="69"/>
  <c r="K22" i="69"/>
  <c r="J22" i="69"/>
  <c r="H22" i="69"/>
  <c r="G22" i="69"/>
  <c r="E22" i="69"/>
  <c r="D22" i="69"/>
  <c r="K21" i="69"/>
  <c r="J21" i="69"/>
  <c r="H21" i="69"/>
  <c r="G21" i="69"/>
  <c r="E21" i="69"/>
  <c r="E26" i="69" s="1"/>
  <c r="D21" i="69"/>
  <c r="D26" i="69" s="1"/>
  <c r="K15" i="69"/>
  <c r="J15" i="69"/>
  <c r="H15" i="69"/>
  <c r="G15" i="69"/>
  <c r="E15" i="69"/>
  <c r="D15" i="69"/>
  <c r="K14" i="69"/>
  <c r="J14" i="69"/>
  <c r="H14" i="69"/>
  <c r="G14" i="69"/>
  <c r="E14" i="69"/>
  <c r="D14" i="69"/>
  <c r="K13" i="69"/>
  <c r="J13" i="69"/>
  <c r="H13" i="69"/>
  <c r="G13" i="69"/>
  <c r="E13" i="69"/>
  <c r="D13" i="69"/>
  <c r="K12" i="69"/>
  <c r="J12" i="69"/>
  <c r="H12" i="69"/>
  <c r="G12" i="69"/>
  <c r="E12" i="69"/>
  <c r="D12" i="69"/>
  <c r="K11" i="69"/>
  <c r="J11" i="69"/>
  <c r="H11" i="69"/>
  <c r="G11" i="69"/>
  <c r="E11" i="69"/>
  <c r="D11" i="69"/>
  <c r="K10" i="69"/>
  <c r="J10" i="69"/>
  <c r="H10" i="69"/>
  <c r="G10" i="69"/>
  <c r="E10" i="69"/>
  <c r="D10" i="69"/>
  <c r="H9" i="69"/>
  <c r="E9" i="69"/>
  <c r="D9" i="69"/>
  <c r="K8" i="69"/>
  <c r="J8" i="69"/>
  <c r="H8" i="69"/>
  <c r="G8" i="69"/>
  <c r="E8" i="69"/>
  <c r="D8" i="69"/>
  <c r="K7" i="69"/>
  <c r="J7" i="69"/>
  <c r="H7" i="69"/>
  <c r="G7" i="69"/>
  <c r="E7" i="69"/>
  <c r="D7" i="69"/>
  <c r="K6" i="69"/>
  <c r="J6" i="69"/>
  <c r="H6" i="69"/>
  <c r="G6" i="69"/>
  <c r="E6" i="69"/>
  <c r="D6" i="69"/>
  <c r="J57" i="67"/>
  <c r="I57" i="67"/>
  <c r="G57" i="67"/>
  <c r="F57" i="67"/>
  <c r="D57" i="67"/>
  <c r="C57" i="67"/>
  <c r="J56" i="67"/>
  <c r="I56" i="67"/>
  <c r="G56" i="67"/>
  <c r="F56" i="67"/>
  <c r="D56" i="67"/>
  <c r="C56" i="67"/>
  <c r="K50" i="67"/>
  <c r="J50" i="67"/>
  <c r="H50" i="67"/>
  <c r="G50" i="67"/>
  <c r="E50" i="67"/>
  <c r="D50" i="67"/>
  <c r="K49" i="67"/>
  <c r="J49" i="67"/>
  <c r="H49" i="67"/>
  <c r="G49" i="67"/>
  <c r="E49" i="67"/>
  <c r="D49" i="67"/>
  <c r="K48" i="67"/>
  <c r="J48" i="67"/>
  <c r="H48" i="67"/>
  <c r="G48" i="67"/>
  <c r="E48" i="67"/>
  <c r="D48" i="67"/>
  <c r="K47" i="67"/>
  <c r="J47" i="67"/>
  <c r="H47" i="67"/>
  <c r="G47" i="67"/>
  <c r="E47" i="67"/>
  <c r="D47" i="67"/>
  <c r="K46" i="67"/>
  <c r="J46" i="67"/>
  <c r="H46" i="67"/>
  <c r="G46" i="67"/>
  <c r="E46" i="67"/>
  <c r="D46" i="67"/>
  <c r="K40" i="67"/>
  <c r="J40" i="67"/>
  <c r="H40" i="67"/>
  <c r="G40" i="67"/>
  <c r="E40" i="67"/>
  <c r="D40" i="67"/>
  <c r="J39" i="67"/>
  <c r="H39" i="67"/>
  <c r="G39" i="67"/>
  <c r="E39" i="67"/>
  <c r="D39" i="67"/>
  <c r="K38" i="67"/>
  <c r="J38" i="67"/>
  <c r="H38" i="67"/>
  <c r="G38" i="67"/>
  <c r="E38" i="67"/>
  <c r="D38" i="67"/>
  <c r="K37" i="67"/>
  <c r="J37" i="67"/>
  <c r="H37" i="67"/>
  <c r="G37" i="67"/>
  <c r="E37" i="67"/>
  <c r="D37" i="67"/>
  <c r="K36" i="67"/>
  <c r="J36" i="67"/>
  <c r="H36" i="67"/>
  <c r="G36" i="67"/>
  <c r="E36" i="67"/>
  <c r="D36" i="67"/>
  <c r="J35" i="67"/>
  <c r="H35" i="67"/>
  <c r="G35" i="67"/>
  <c r="E35" i="67"/>
  <c r="D35" i="67"/>
  <c r="K34" i="67"/>
  <c r="J34" i="67"/>
  <c r="H34" i="67"/>
  <c r="G34" i="67"/>
  <c r="E34" i="67"/>
  <c r="D34" i="67"/>
  <c r="K33" i="67"/>
  <c r="J33" i="67"/>
  <c r="H33" i="67"/>
  <c r="G33" i="67"/>
  <c r="E33" i="67"/>
  <c r="D33" i="67"/>
  <c r="J32" i="67"/>
  <c r="H32" i="67"/>
  <c r="G32" i="67"/>
  <c r="E32" i="67"/>
  <c r="D32" i="67"/>
  <c r="K31" i="67"/>
  <c r="J31" i="67"/>
  <c r="H31" i="67"/>
  <c r="G31" i="67"/>
  <c r="E31" i="67"/>
  <c r="D31" i="67"/>
  <c r="K25" i="67"/>
  <c r="J25" i="67"/>
  <c r="H25" i="67"/>
  <c r="G25" i="67"/>
  <c r="E25" i="67"/>
  <c r="D25" i="67"/>
  <c r="K24" i="67"/>
  <c r="J24" i="67"/>
  <c r="H24" i="67"/>
  <c r="G24" i="67"/>
  <c r="E24" i="67"/>
  <c r="D24" i="67"/>
  <c r="K23" i="67"/>
  <c r="J23" i="67"/>
  <c r="H23" i="67"/>
  <c r="G23" i="67"/>
  <c r="E23" i="67"/>
  <c r="D23" i="67"/>
  <c r="K22" i="67"/>
  <c r="J22" i="67"/>
  <c r="H22" i="67"/>
  <c r="G22" i="67"/>
  <c r="E22" i="67"/>
  <c r="D22" i="67"/>
  <c r="K21" i="67"/>
  <c r="J21" i="67"/>
  <c r="H21" i="67"/>
  <c r="G21" i="67"/>
  <c r="E21" i="67"/>
  <c r="D21" i="67"/>
  <c r="K15" i="67"/>
  <c r="J15" i="67"/>
  <c r="H15" i="67"/>
  <c r="G15" i="67"/>
  <c r="E15" i="67"/>
  <c r="D15" i="67"/>
  <c r="K14" i="67"/>
  <c r="J14" i="67"/>
  <c r="H14" i="67"/>
  <c r="G14" i="67"/>
  <c r="E14" i="67"/>
  <c r="D14" i="67"/>
  <c r="K13" i="67"/>
  <c r="J13" i="67"/>
  <c r="H13" i="67"/>
  <c r="G13" i="67"/>
  <c r="E13" i="67"/>
  <c r="D13" i="67"/>
  <c r="K12" i="67"/>
  <c r="J12" i="67"/>
  <c r="H12" i="67"/>
  <c r="G12" i="67"/>
  <c r="E12" i="67"/>
  <c r="D12" i="67"/>
  <c r="K11" i="67"/>
  <c r="J11" i="67"/>
  <c r="H11" i="67"/>
  <c r="G11" i="67"/>
  <c r="E11" i="67"/>
  <c r="D11" i="67"/>
  <c r="K10" i="67"/>
  <c r="J10" i="67"/>
  <c r="H10" i="67"/>
  <c r="G10" i="67"/>
  <c r="E10" i="67"/>
  <c r="D10" i="67"/>
  <c r="L9" i="67"/>
  <c r="H9" i="67"/>
  <c r="E9" i="67"/>
  <c r="D9" i="67"/>
  <c r="K8" i="67"/>
  <c r="J8" i="67"/>
  <c r="H8" i="67"/>
  <c r="G8" i="67"/>
  <c r="E8" i="67"/>
  <c r="D8" i="67"/>
  <c r="K7" i="67"/>
  <c r="J7" i="67"/>
  <c r="H7" i="67"/>
  <c r="G7" i="67"/>
  <c r="E7" i="67"/>
  <c r="D7" i="67"/>
  <c r="K6" i="67"/>
  <c r="J6" i="67"/>
  <c r="H6" i="67"/>
  <c r="G6" i="67"/>
  <c r="E6" i="67"/>
  <c r="D6" i="67"/>
  <c r="K65" i="72"/>
  <c r="G65" i="72"/>
  <c r="F65" i="72"/>
  <c r="D65" i="72"/>
  <c r="C65" i="72"/>
  <c r="P20" i="72"/>
  <c r="H58" i="72" s="1"/>
  <c r="P17" i="72"/>
  <c r="E58" i="72" s="1"/>
  <c r="P15" i="72"/>
  <c r="P9" i="72"/>
  <c r="L9" i="72"/>
  <c r="K65" i="71"/>
  <c r="G65" i="71"/>
  <c r="F65" i="71"/>
  <c r="D65" i="71"/>
  <c r="C65" i="71"/>
  <c r="P20" i="71"/>
  <c r="H58" i="71" s="1"/>
  <c r="P17" i="71"/>
  <c r="E58" i="71" s="1"/>
  <c r="P15" i="71"/>
  <c r="P9" i="71"/>
  <c r="L9" i="71"/>
  <c r="K65" i="70"/>
  <c r="G65" i="70"/>
  <c r="F65" i="70"/>
  <c r="D65" i="70"/>
  <c r="C65" i="70"/>
  <c r="P20" i="70"/>
  <c r="H58" i="70" s="1"/>
  <c r="P17" i="70"/>
  <c r="E58" i="70" s="1"/>
  <c r="P15" i="70"/>
  <c r="P9" i="70"/>
  <c r="K65" i="69"/>
  <c r="G65" i="69"/>
  <c r="F65" i="69"/>
  <c r="D65" i="69"/>
  <c r="C65" i="69"/>
  <c r="P20" i="69"/>
  <c r="H58" i="69" s="1"/>
  <c r="P17" i="69"/>
  <c r="E58" i="69" s="1"/>
  <c r="P15" i="69"/>
  <c r="P9" i="69"/>
  <c r="L9" i="69"/>
  <c r="K65" i="68"/>
  <c r="G65" i="68"/>
  <c r="F65" i="68"/>
  <c r="D65" i="68"/>
  <c r="C65" i="68"/>
  <c r="P20" i="68"/>
  <c r="H58" i="68" s="1"/>
  <c r="P17" i="68"/>
  <c r="E58" i="68" s="1"/>
  <c r="P15" i="68"/>
  <c r="P9" i="68"/>
  <c r="L9" i="68"/>
  <c r="K65" i="67"/>
  <c r="G65" i="67"/>
  <c r="F65" i="67"/>
  <c r="D65" i="67"/>
  <c r="C65" i="67"/>
  <c r="P20" i="67"/>
  <c r="H58" i="67" s="1"/>
  <c r="P17" i="67"/>
  <c r="E58" i="67" s="1"/>
  <c r="P15" i="67"/>
  <c r="P9" i="67"/>
  <c r="K65" i="66"/>
  <c r="G65" i="66"/>
  <c r="F65" i="66"/>
  <c r="D65" i="66"/>
  <c r="C65" i="66"/>
  <c r="P20" i="66"/>
  <c r="H58" i="66" s="1"/>
  <c r="P17" i="66"/>
  <c r="E58" i="66" s="1"/>
  <c r="P15" i="66"/>
  <c r="P9" i="66"/>
  <c r="L9" i="66"/>
  <c r="J57" i="65"/>
  <c r="I57" i="65"/>
  <c r="G57" i="65"/>
  <c r="F57" i="65"/>
  <c r="D57" i="65"/>
  <c r="C57" i="65"/>
  <c r="J56" i="65"/>
  <c r="I56" i="65"/>
  <c r="G56" i="65"/>
  <c r="F56" i="65"/>
  <c r="D56" i="65"/>
  <c r="D59" i="65" s="1"/>
  <c r="C56" i="65"/>
  <c r="C59" i="65" s="1"/>
  <c r="K50" i="65"/>
  <c r="J50" i="65"/>
  <c r="H50" i="65"/>
  <c r="G50" i="65"/>
  <c r="E50" i="65"/>
  <c r="D50" i="65"/>
  <c r="K49" i="65"/>
  <c r="J49" i="65"/>
  <c r="H49" i="65"/>
  <c r="G49" i="65"/>
  <c r="E49" i="65"/>
  <c r="D49" i="65"/>
  <c r="K48" i="65"/>
  <c r="J48" i="65"/>
  <c r="H48" i="65"/>
  <c r="G48" i="65"/>
  <c r="E48" i="65"/>
  <c r="D48" i="65"/>
  <c r="K47" i="65"/>
  <c r="J47" i="65"/>
  <c r="H47" i="65"/>
  <c r="G47" i="65"/>
  <c r="E47" i="65"/>
  <c r="D47" i="65"/>
  <c r="K46" i="65"/>
  <c r="J46" i="65"/>
  <c r="H46" i="65"/>
  <c r="G46" i="65"/>
  <c r="E46" i="65"/>
  <c r="E51" i="65" s="1"/>
  <c r="D46" i="65"/>
  <c r="D51" i="65" s="1"/>
  <c r="K40" i="65"/>
  <c r="J40" i="65"/>
  <c r="H40" i="65"/>
  <c r="G40" i="65"/>
  <c r="E40" i="65"/>
  <c r="D40" i="65"/>
  <c r="J39" i="65"/>
  <c r="H39" i="65"/>
  <c r="G39" i="65"/>
  <c r="E39" i="65"/>
  <c r="D39" i="65"/>
  <c r="K38" i="65"/>
  <c r="J38" i="65"/>
  <c r="H38" i="65"/>
  <c r="G38" i="65"/>
  <c r="E38" i="65"/>
  <c r="D38" i="65"/>
  <c r="K37" i="65"/>
  <c r="J37" i="65"/>
  <c r="H37" i="65"/>
  <c r="G37" i="65"/>
  <c r="E37" i="65"/>
  <c r="D37" i="65"/>
  <c r="K36" i="65"/>
  <c r="J36" i="65"/>
  <c r="H36" i="65"/>
  <c r="G36" i="65"/>
  <c r="E36" i="65"/>
  <c r="D36" i="65"/>
  <c r="J35" i="65"/>
  <c r="H35" i="65"/>
  <c r="G35" i="65"/>
  <c r="E35" i="65"/>
  <c r="D35" i="65"/>
  <c r="K34" i="65"/>
  <c r="J34" i="65"/>
  <c r="H34" i="65"/>
  <c r="G34" i="65"/>
  <c r="E34" i="65"/>
  <c r="D34" i="65"/>
  <c r="K33" i="65"/>
  <c r="J33" i="65"/>
  <c r="H33" i="65"/>
  <c r="G33" i="65"/>
  <c r="E33" i="65"/>
  <c r="D33" i="65"/>
  <c r="J32" i="65"/>
  <c r="H32" i="65"/>
  <c r="G32" i="65"/>
  <c r="E32" i="65"/>
  <c r="D32" i="65"/>
  <c r="K31" i="65"/>
  <c r="J31" i="65"/>
  <c r="H31" i="65"/>
  <c r="G31" i="65"/>
  <c r="E31" i="65"/>
  <c r="E41" i="65" s="1"/>
  <c r="D31" i="65"/>
  <c r="D41" i="65" s="1"/>
  <c r="K25" i="65"/>
  <c r="J25" i="65"/>
  <c r="H25" i="65"/>
  <c r="G25" i="65"/>
  <c r="E25" i="65"/>
  <c r="D25" i="65"/>
  <c r="K24" i="65"/>
  <c r="J24" i="65"/>
  <c r="H24" i="65"/>
  <c r="G24" i="65"/>
  <c r="E24" i="65"/>
  <c r="D24" i="65"/>
  <c r="K23" i="65"/>
  <c r="J23" i="65"/>
  <c r="H23" i="65"/>
  <c r="G23" i="65"/>
  <c r="E23" i="65"/>
  <c r="D23" i="65"/>
  <c r="K22" i="65"/>
  <c r="J22" i="65"/>
  <c r="H22" i="65"/>
  <c r="G22" i="65"/>
  <c r="E22" i="65"/>
  <c r="D22" i="65"/>
  <c r="K21" i="65"/>
  <c r="J21" i="65"/>
  <c r="H21" i="65"/>
  <c r="G21" i="65"/>
  <c r="E21" i="65"/>
  <c r="D21" i="65"/>
  <c r="D26" i="65" s="1"/>
  <c r="K15" i="65"/>
  <c r="J15" i="65"/>
  <c r="H15" i="65"/>
  <c r="G15" i="65"/>
  <c r="E15" i="65"/>
  <c r="D15" i="65"/>
  <c r="K14" i="65"/>
  <c r="J14" i="65"/>
  <c r="H14" i="65"/>
  <c r="G14" i="65"/>
  <c r="E14" i="65"/>
  <c r="D14" i="65"/>
  <c r="K13" i="65"/>
  <c r="J13" i="65"/>
  <c r="H13" i="65"/>
  <c r="G13" i="65"/>
  <c r="E13" i="65"/>
  <c r="D13" i="65"/>
  <c r="K12" i="65"/>
  <c r="J12" i="65"/>
  <c r="H12" i="65"/>
  <c r="G12" i="65"/>
  <c r="E12" i="65"/>
  <c r="D12" i="65"/>
  <c r="K11" i="65"/>
  <c r="J11" i="65"/>
  <c r="H11" i="65"/>
  <c r="G11" i="65"/>
  <c r="E11" i="65"/>
  <c r="D11" i="65"/>
  <c r="K10" i="65"/>
  <c r="J10" i="65"/>
  <c r="H10" i="65"/>
  <c r="G10" i="65"/>
  <c r="E10" i="65"/>
  <c r="D10" i="65"/>
  <c r="H9" i="65"/>
  <c r="E9" i="65"/>
  <c r="D9" i="65"/>
  <c r="K8" i="65"/>
  <c r="J8" i="65"/>
  <c r="H8" i="65"/>
  <c r="G8" i="65"/>
  <c r="E8" i="65"/>
  <c r="D8" i="65"/>
  <c r="K7" i="65"/>
  <c r="J7" i="65"/>
  <c r="H7" i="65"/>
  <c r="G7" i="65"/>
  <c r="E7" i="65"/>
  <c r="D7" i="65"/>
  <c r="K6" i="65"/>
  <c r="J6" i="65"/>
  <c r="H6" i="65"/>
  <c r="G6" i="65"/>
  <c r="E6" i="65"/>
  <c r="D6" i="65"/>
  <c r="K65" i="65"/>
  <c r="G65" i="65"/>
  <c r="F65" i="65"/>
  <c r="D65" i="65"/>
  <c r="C65" i="65"/>
  <c r="E65" i="65" s="1"/>
  <c r="P20" i="65"/>
  <c r="H58" i="65" s="1"/>
  <c r="P17" i="65"/>
  <c r="E58" i="65" s="1"/>
  <c r="P15" i="65"/>
  <c r="P9" i="65"/>
  <c r="L9" i="65"/>
  <c r="J57" i="64"/>
  <c r="I57" i="64"/>
  <c r="G57" i="64"/>
  <c r="F57" i="64"/>
  <c r="D57" i="64"/>
  <c r="C57" i="64"/>
  <c r="J56" i="64"/>
  <c r="I56" i="64"/>
  <c r="G56" i="64"/>
  <c r="F56" i="64"/>
  <c r="D56" i="64"/>
  <c r="D59" i="64" s="1"/>
  <c r="C56" i="64"/>
  <c r="C59" i="64" s="1"/>
  <c r="K50" i="64"/>
  <c r="J50" i="64"/>
  <c r="H50" i="64"/>
  <c r="G50" i="64"/>
  <c r="E50" i="64"/>
  <c r="D50" i="64"/>
  <c r="K49" i="64"/>
  <c r="J49" i="64"/>
  <c r="H49" i="64"/>
  <c r="G49" i="64"/>
  <c r="E49" i="64"/>
  <c r="D49" i="64"/>
  <c r="K48" i="64"/>
  <c r="J48" i="64"/>
  <c r="H48" i="64"/>
  <c r="G48" i="64"/>
  <c r="E48" i="64"/>
  <c r="D48" i="64"/>
  <c r="K47" i="64"/>
  <c r="J47" i="64"/>
  <c r="H47" i="64"/>
  <c r="G47" i="64"/>
  <c r="E47" i="64"/>
  <c r="D47" i="64"/>
  <c r="K46" i="64"/>
  <c r="J46" i="64"/>
  <c r="H46" i="64"/>
  <c r="G46" i="64"/>
  <c r="E46" i="64"/>
  <c r="E51" i="64" s="1"/>
  <c r="D46" i="64"/>
  <c r="D51" i="64" s="1"/>
  <c r="K40" i="64"/>
  <c r="J40" i="64"/>
  <c r="H40" i="64"/>
  <c r="G40" i="64"/>
  <c r="E40" i="64"/>
  <c r="D40" i="64"/>
  <c r="J39" i="64"/>
  <c r="H39" i="64"/>
  <c r="G39" i="64"/>
  <c r="E39" i="64"/>
  <c r="D39" i="64"/>
  <c r="K38" i="64"/>
  <c r="J38" i="64"/>
  <c r="H38" i="64"/>
  <c r="G38" i="64"/>
  <c r="E38" i="64"/>
  <c r="D38" i="64"/>
  <c r="K37" i="64"/>
  <c r="J37" i="64"/>
  <c r="H37" i="64"/>
  <c r="G37" i="64"/>
  <c r="E37" i="64"/>
  <c r="D37" i="64"/>
  <c r="K36" i="64"/>
  <c r="J36" i="64"/>
  <c r="H36" i="64"/>
  <c r="G36" i="64"/>
  <c r="E36" i="64"/>
  <c r="D36" i="64"/>
  <c r="J35" i="64"/>
  <c r="H35" i="64"/>
  <c r="G35" i="64"/>
  <c r="E35" i="64"/>
  <c r="D35" i="64"/>
  <c r="K34" i="64"/>
  <c r="J34" i="64"/>
  <c r="H34" i="64"/>
  <c r="G34" i="64"/>
  <c r="E34" i="64"/>
  <c r="D34" i="64"/>
  <c r="K33" i="64"/>
  <c r="J33" i="64"/>
  <c r="H33" i="64"/>
  <c r="G33" i="64"/>
  <c r="E33" i="64"/>
  <c r="D33" i="64"/>
  <c r="J32" i="64"/>
  <c r="H32" i="64"/>
  <c r="G32" i="64"/>
  <c r="E32" i="64"/>
  <c r="D32" i="64"/>
  <c r="K31" i="64"/>
  <c r="J31" i="64"/>
  <c r="H31" i="64"/>
  <c r="G31" i="64"/>
  <c r="E31" i="64"/>
  <c r="D31" i="64"/>
  <c r="D41" i="64" s="1"/>
  <c r="K25" i="64"/>
  <c r="J25" i="64"/>
  <c r="H25" i="64"/>
  <c r="G25" i="64"/>
  <c r="E25" i="64"/>
  <c r="D25" i="64"/>
  <c r="K24" i="64"/>
  <c r="J24" i="64"/>
  <c r="H24" i="64"/>
  <c r="G24" i="64"/>
  <c r="E24" i="64"/>
  <c r="D24" i="64"/>
  <c r="K23" i="64"/>
  <c r="J23" i="64"/>
  <c r="H23" i="64"/>
  <c r="G23" i="64"/>
  <c r="E23" i="64"/>
  <c r="D23" i="64"/>
  <c r="K22" i="64"/>
  <c r="J22" i="64"/>
  <c r="H22" i="64"/>
  <c r="G22" i="64"/>
  <c r="E22" i="64"/>
  <c r="D22" i="64"/>
  <c r="K21" i="64"/>
  <c r="J21" i="64"/>
  <c r="H21" i="64"/>
  <c r="G21" i="64"/>
  <c r="E21" i="64"/>
  <c r="E26" i="64" s="1"/>
  <c r="D21" i="64"/>
  <c r="K15" i="64"/>
  <c r="J15" i="64"/>
  <c r="H15" i="64"/>
  <c r="G15" i="64"/>
  <c r="E15" i="64"/>
  <c r="D15" i="64"/>
  <c r="K14" i="64"/>
  <c r="J14" i="64"/>
  <c r="H14" i="64"/>
  <c r="G14" i="64"/>
  <c r="E14" i="64"/>
  <c r="D14" i="64"/>
  <c r="K13" i="64"/>
  <c r="J13" i="64"/>
  <c r="H13" i="64"/>
  <c r="G13" i="64"/>
  <c r="E13" i="64"/>
  <c r="D13" i="64"/>
  <c r="K12" i="64"/>
  <c r="J12" i="64"/>
  <c r="H12" i="64"/>
  <c r="G12" i="64"/>
  <c r="E12" i="64"/>
  <c r="D12" i="64"/>
  <c r="K11" i="64"/>
  <c r="J11" i="64"/>
  <c r="H11" i="64"/>
  <c r="G11" i="64"/>
  <c r="E11" i="64"/>
  <c r="D11" i="64"/>
  <c r="K10" i="64"/>
  <c r="J10" i="64"/>
  <c r="H10" i="64"/>
  <c r="G10" i="64"/>
  <c r="E10" i="64"/>
  <c r="D10" i="64"/>
  <c r="H9" i="64"/>
  <c r="E9" i="64"/>
  <c r="D9" i="64"/>
  <c r="K8" i="64"/>
  <c r="J8" i="64"/>
  <c r="H8" i="64"/>
  <c r="G8" i="64"/>
  <c r="E8" i="64"/>
  <c r="D8" i="64"/>
  <c r="K7" i="64"/>
  <c r="J7" i="64"/>
  <c r="H7" i="64"/>
  <c r="G7" i="64"/>
  <c r="E7" i="64"/>
  <c r="D7" i="64"/>
  <c r="K6" i="64"/>
  <c r="J6" i="64"/>
  <c r="H6" i="64"/>
  <c r="G6" i="64"/>
  <c r="E6" i="64"/>
  <c r="E16" i="64" s="1"/>
  <c r="D6" i="64"/>
  <c r="D16" i="64" s="1"/>
  <c r="K65" i="64"/>
  <c r="G65" i="64"/>
  <c r="F65" i="64"/>
  <c r="D65" i="64"/>
  <c r="C65" i="64"/>
  <c r="P20" i="64"/>
  <c r="P17" i="64"/>
  <c r="E58" i="64" s="1"/>
  <c r="P15" i="64"/>
  <c r="P9" i="64"/>
  <c r="L9" i="64"/>
  <c r="J57" i="63"/>
  <c r="I57" i="63"/>
  <c r="G57" i="63"/>
  <c r="F57" i="63"/>
  <c r="D57" i="63"/>
  <c r="C57" i="63"/>
  <c r="J56" i="63"/>
  <c r="I56" i="63"/>
  <c r="G56" i="63"/>
  <c r="F56" i="63"/>
  <c r="D56" i="63"/>
  <c r="D59" i="63" s="1"/>
  <c r="C56" i="63"/>
  <c r="C59" i="63" s="1"/>
  <c r="K50" i="63"/>
  <c r="J50" i="63"/>
  <c r="H50" i="63"/>
  <c r="G50" i="63"/>
  <c r="E50" i="63"/>
  <c r="D50" i="63"/>
  <c r="K49" i="63"/>
  <c r="J49" i="63"/>
  <c r="H49" i="63"/>
  <c r="G49" i="63"/>
  <c r="E49" i="63"/>
  <c r="D49" i="63"/>
  <c r="K48" i="63"/>
  <c r="J48" i="63"/>
  <c r="H48" i="63"/>
  <c r="G48" i="63"/>
  <c r="E48" i="63"/>
  <c r="D48" i="63"/>
  <c r="K47" i="63"/>
  <c r="J47" i="63"/>
  <c r="H47" i="63"/>
  <c r="G47" i="63"/>
  <c r="E47" i="63"/>
  <c r="D47" i="63"/>
  <c r="K46" i="63"/>
  <c r="J46" i="63"/>
  <c r="H46" i="63"/>
  <c r="G46" i="63"/>
  <c r="E46" i="63"/>
  <c r="E51" i="63" s="1"/>
  <c r="D46" i="63"/>
  <c r="D51" i="63" s="1"/>
  <c r="K40" i="63"/>
  <c r="J40" i="63"/>
  <c r="H40" i="63"/>
  <c r="G40" i="63"/>
  <c r="E40" i="63"/>
  <c r="D40" i="63"/>
  <c r="J39" i="63"/>
  <c r="H39" i="63"/>
  <c r="G39" i="63"/>
  <c r="E39" i="63"/>
  <c r="D39" i="63"/>
  <c r="K38" i="63"/>
  <c r="J38" i="63"/>
  <c r="H38" i="63"/>
  <c r="G38" i="63"/>
  <c r="E38" i="63"/>
  <c r="D38" i="63"/>
  <c r="K37" i="63"/>
  <c r="J37" i="63"/>
  <c r="H37" i="63"/>
  <c r="G37" i="63"/>
  <c r="E37" i="63"/>
  <c r="D37" i="63"/>
  <c r="K36" i="63"/>
  <c r="J36" i="63"/>
  <c r="H36" i="63"/>
  <c r="G36" i="63"/>
  <c r="E36" i="63"/>
  <c r="D36" i="63"/>
  <c r="J35" i="63"/>
  <c r="H35" i="63"/>
  <c r="G35" i="63"/>
  <c r="E35" i="63"/>
  <c r="D35" i="63"/>
  <c r="K34" i="63"/>
  <c r="J34" i="63"/>
  <c r="H34" i="63"/>
  <c r="G34" i="63"/>
  <c r="E34" i="63"/>
  <c r="D34" i="63"/>
  <c r="K33" i="63"/>
  <c r="J33" i="63"/>
  <c r="H33" i="63"/>
  <c r="G33" i="63"/>
  <c r="E33" i="63"/>
  <c r="D33" i="63"/>
  <c r="J32" i="63"/>
  <c r="H32" i="63"/>
  <c r="G32" i="63"/>
  <c r="E32" i="63"/>
  <c r="D32" i="63"/>
  <c r="K31" i="63"/>
  <c r="J31" i="63"/>
  <c r="H31" i="63"/>
  <c r="G31" i="63"/>
  <c r="E31" i="63"/>
  <c r="E41" i="63" s="1"/>
  <c r="D31" i="63"/>
  <c r="D41" i="63" s="1"/>
  <c r="K25" i="63"/>
  <c r="J25" i="63"/>
  <c r="H25" i="63"/>
  <c r="G25" i="63"/>
  <c r="E25" i="63"/>
  <c r="D25" i="63"/>
  <c r="K24" i="63"/>
  <c r="J24" i="63"/>
  <c r="H24" i="63"/>
  <c r="G24" i="63"/>
  <c r="E24" i="63"/>
  <c r="D24" i="63"/>
  <c r="K23" i="63"/>
  <c r="J23" i="63"/>
  <c r="H23" i="63"/>
  <c r="G23" i="63"/>
  <c r="E23" i="63"/>
  <c r="D23" i="63"/>
  <c r="K22" i="63"/>
  <c r="J22" i="63"/>
  <c r="H22" i="63"/>
  <c r="G22" i="63"/>
  <c r="E22" i="63"/>
  <c r="D22" i="63"/>
  <c r="K21" i="63"/>
  <c r="J21" i="63"/>
  <c r="H21" i="63"/>
  <c r="G21" i="63"/>
  <c r="E21" i="63"/>
  <c r="E26" i="63" s="1"/>
  <c r="D21" i="63"/>
  <c r="D26" i="63" s="1"/>
  <c r="K15" i="63"/>
  <c r="J15" i="63"/>
  <c r="H15" i="63"/>
  <c r="G15" i="63"/>
  <c r="E15" i="63"/>
  <c r="D15" i="63"/>
  <c r="K14" i="63"/>
  <c r="J14" i="63"/>
  <c r="H14" i="63"/>
  <c r="G14" i="63"/>
  <c r="E14" i="63"/>
  <c r="D14" i="63"/>
  <c r="K13" i="63"/>
  <c r="J13" i="63"/>
  <c r="H13" i="63"/>
  <c r="G13" i="63"/>
  <c r="E13" i="63"/>
  <c r="D13" i="63"/>
  <c r="K12" i="63"/>
  <c r="J12" i="63"/>
  <c r="H12" i="63"/>
  <c r="G12" i="63"/>
  <c r="E12" i="63"/>
  <c r="D12" i="63"/>
  <c r="K11" i="63"/>
  <c r="J11" i="63"/>
  <c r="H11" i="63"/>
  <c r="G11" i="63"/>
  <c r="E11" i="63"/>
  <c r="D11" i="63"/>
  <c r="K10" i="63"/>
  <c r="J10" i="63"/>
  <c r="H10" i="63"/>
  <c r="G10" i="63"/>
  <c r="E10" i="63"/>
  <c r="D10" i="63"/>
  <c r="H9" i="63"/>
  <c r="E9" i="63"/>
  <c r="D9" i="63"/>
  <c r="K8" i="63"/>
  <c r="J8" i="63"/>
  <c r="H8" i="63"/>
  <c r="G8" i="63"/>
  <c r="E8" i="63"/>
  <c r="D8" i="63"/>
  <c r="K7" i="63"/>
  <c r="J7" i="63"/>
  <c r="H7" i="63"/>
  <c r="G7" i="63"/>
  <c r="E7" i="63"/>
  <c r="D7" i="63"/>
  <c r="K6" i="63"/>
  <c r="J6" i="63"/>
  <c r="H6" i="63"/>
  <c r="G6" i="63"/>
  <c r="E6" i="63"/>
  <c r="D6" i="63"/>
  <c r="K65" i="63"/>
  <c r="G65" i="63"/>
  <c r="F65" i="63"/>
  <c r="D65" i="63"/>
  <c r="C65" i="63"/>
  <c r="P20" i="63"/>
  <c r="H58" i="63" s="1"/>
  <c r="P17" i="63"/>
  <c r="E58" i="63" s="1"/>
  <c r="P15" i="63"/>
  <c r="P9" i="63"/>
  <c r="L9" i="63"/>
  <c r="J26" i="81" l="1"/>
  <c r="L21" i="81"/>
  <c r="G26" i="81"/>
  <c r="I21" i="81"/>
  <c r="E26" i="81"/>
  <c r="F21" i="81"/>
  <c r="D26" i="81"/>
  <c r="E65" i="79"/>
  <c r="E65" i="63"/>
  <c r="H65" i="65"/>
  <c r="E65" i="76"/>
  <c r="H65" i="76"/>
  <c r="E65" i="84"/>
  <c r="E65" i="81"/>
  <c r="E65" i="67"/>
  <c r="L49" i="71"/>
  <c r="L49" i="77"/>
  <c r="L21" i="77"/>
  <c r="L39" i="86"/>
  <c r="D41" i="71"/>
  <c r="J41" i="71"/>
  <c r="L47" i="77"/>
  <c r="L34" i="88"/>
  <c r="K51" i="71"/>
  <c r="K41" i="86"/>
  <c r="E51" i="88"/>
  <c r="E26" i="76"/>
  <c r="H65" i="78"/>
  <c r="I9" i="66"/>
  <c r="H65" i="71"/>
  <c r="I9" i="74"/>
  <c r="H65" i="81"/>
  <c r="L37" i="83"/>
  <c r="K51" i="86"/>
  <c r="L34" i="77"/>
  <c r="E51" i="86"/>
  <c r="E41" i="88"/>
  <c r="K56" i="82"/>
  <c r="J59" i="58"/>
  <c r="L25" i="71"/>
  <c r="L34" i="71"/>
  <c r="L25" i="87"/>
  <c r="J51" i="71"/>
  <c r="L23" i="82"/>
  <c r="L35" i="87"/>
  <c r="L40" i="76"/>
  <c r="L25" i="88"/>
  <c r="L40" i="88"/>
  <c r="L23" i="86"/>
  <c r="E41" i="86"/>
  <c r="H65" i="82"/>
  <c r="F15" i="76"/>
  <c r="H65" i="75"/>
  <c r="I9" i="75"/>
  <c r="H65" i="73"/>
  <c r="L40" i="71"/>
  <c r="L15" i="71"/>
  <c r="L22" i="71"/>
  <c r="L37" i="71"/>
  <c r="K57" i="71"/>
  <c r="K41" i="71"/>
  <c r="E26" i="71"/>
  <c r="E41" i="71"/>
  <c r="I9" i="65"/>
  <c r="H65" i="63"/>
  <c r="F10" i="83"/>
  <c r="E26" i="83"/>
  <c r="H51" i="83"/>
  <c r="L47" i="86"/>
  <c r="L11" i="87"/>
  <c r="K51" i="87"/>
  <c r="L36" i="88"/>
  <c r="L49" i="88"/>
  <c r="L13" i="71"/>
  <c r="E26" i="77"/>
  <c r="H65" i="69"/>
  <c r="E65" i="83"/>
  <c r="J51" i="88"/>
  <c r="P26" i="64"/>
  <c r="H58" i="64"/>
  <c r="I9" i="73"/>
  <c r="E65" i="78"/>
  <c r="H65" i="83"/>
  <c r="E65" i="73"/>
  <c r="I9" i="63"/>
  <c r="E65" i="68"/>
  <c r="E56" i="86"/>
  <c r="E58" i="86"/>
  <c r="H65" i="88"/>
  <c r="H65" i="64"/>
  <c r="H65" i="68"/>
  <c r="F14" i="87"/>
  <c r="E65" i="75"/>
  <c r="H65" i="80"/>
  <c r="H65" i="84"/>
  <c r="I39" i="88"/>
  <c r="H58" i="88"/>
  <c r="E57" i="83"/>
  <c r="E58" i="83"/>
  <c r="I32" i="87"/>
  <c r="H58" i="87"/>
  <c r="I49" i="83"/>
  <c r="H58" i="83"/>
  <c r="I9" i="85"/>
  <c r="I9" i="71"/>
  <c r="I9" i="81"/>
  <c r="I9" i="80"/>
  <c r="I9" i="88"/>
  <c r="E65" i="69"/>
  <c r="I48" i="83"/>
  <c r="I24" i="77"/>
  <c r="H58" i="77"/>
  <c r="I9" i="83"/>
  <c r="E51" i="76"/>
  <c r="L14" i="83"/>
  <c r="L49" i="83"/>
  <c r="I50" i="83"/>
  <c r="H57" i="83"/>
  <c r="I8" i="77"/>
  <c r="J51" i="82"/>
  <c r="H41" i="85"/>
  <c r="L11" i="77"/>
  <c r="L15" i="77"/>
  <c r="L39" i="77"/>
  <c r="K56" i="75"/>
  <c r="L24" i="85"/>
  <c r="I25" i="80"/>
  <c r="F33" i="66"/>
  <c r="I33" i="74"/>
  <c r="L31" i="82"/>
  <c r="K57" i="70"/>
  <c r="L24" i="72"/>
  <c r="F38" i="66"/>
  <c r="L40" i="73"/>
  <c r="L34" i="75"/>
  <c r="I35" i="75"/>
  <c r="L32" i="84"/>
  <c r="D41" i="80"/>
  <c r="L48" i="73"/>
  <c r="C59" i="58"/>
  <c r="I59" i="58"/>
  <c r="L25" i="82"/>
  <c r="L22" i="83"/>
  <c r="L33" i="83"/>
  <c r="H26" i="85"/>
  <c r="L49" i="73"/>
  <c r="L14" i="75"/>
  <c r="L25" i="75"/>
  <c r="L40" i="75"/>
  <c r="I50" i="75"/>
  <c r="E26" i="70"/>
  <c r="J26" i="72"/>
  <c r="K41" i="73"/>
  <c r="L15" i="74"/>
  <c r="J26" i="74"/>
  <c r="L50" i="74"/>
  <c r="H51" i="79"/>
  <c r="L47" i="80"/>
  <c r="L13" i="81"/>
  <c r="D51" i="81"/>
  <c r="K51" i="82"/>
  <c r="K56" i="85"/>
  <c r="L50" i="68"/>
  <c r="I12" i="76"/>
  <c r="L50" i="76"/>
  <c r="F15" i="80"/>
  <c r="L35" i="80"/>
  <c r="E51" i="81"/>
  <c r="D26" i="83"/>
  <c r="J51" i="83"/>
  <c r="G51" i="83"/>
  <c r="H26" i="84"/>
  <c r="H41" i="84"/>
  <c r="L40" i="84"/>
  <c r="K51" i="84"/>
  <c r="K26" i="85"/>
  <c r="L48" i="85"/>
  <c r="L10" i="86"/>
  <c r="I11" i="86"/>
  <c r="I38" i="81"/>
  <c r="L46" i="83"/>
  <c r="L24" i="81"/>
  <c r="I40" i="81"/>
  <c r="H51" i="82"/>
  <c r="H26" i="83"/>
  <c r="H41" i="83"/>
  <c r="E51" i="83"/>
  <c r="L48" i="84"/>
  <c r="D26" i="86"/>
  <c r="D41" i="86"/>
  <c r="J51" i="86"/>
  <c r="L48" i="86"/>
  <c r="L50" i="86"/>
  <c r="K41" i="87"/>
  <c r="E51" i="87"/>
  <c r="L22" i="88"/>
  <c r="F24" i="88"/>
  <c r="I37" i="81"/>
  <c r="I50" i="81"/>
  <c r="I14" i="85"/>
  <c r="L33" i="85"/>
  <c r="L37" i="85"/>
  <c r="F14" i="86"/>
  <c r="L25" i="86"/>
  <c r="L34" i="86"/>
  <c r="L36" i="86"/>
  <c r="I13" i="88"/>
  <c r="K41" i="88"/>
  <c r="J41" i="72"/>
  <c r="G51" i="72"/>
  <c r="K41" i="68"/>
  <c r="J41" i="66"/>
  <c r="G41" i="66"/>
  <c r="L37" i="66"/>
  <c r="J51" i="66"/>
  <c r="I25" i="73"/>
  <c r="H41" i="73"/>
  <c r="H51" i="73"/>
  <c r="G26" i="74"/>
  <c r="J41" i="74"/>
  <c r="F40" i="74"/>
  <c r="G51" i="74"/>
  <c r="H41" i="75"/>
  <c r="K51" i="75"/>
  <c r="H51" i="75"/>
  <c r="E57" i="75"/>
  <c r="K57" i="75"/>
  <c r="L14" i="68"/>
  <c r="G26" i="68"/>
  <c r="L34" i="68"/>
  <c r="L47" i="73"/>
  <c r="H41" i="74"/>
  <c r="L32" i="75"/>
  <c r="L36" i="75"/>
  <c r="L38" i="75"/>
  <c r="J51" i="79"/>
  <c r="L32" i="76"/>
  <c r="L36" i="76"/>
  <c r="L10" i="82"/>
  <c r="I15" i="82"/>
  <c r="L8" i="83"/>
  <c r="I25" i="83"/>
  <c r="L50" i="83"/>
  <c r="I48" i="75"/>
  <c r="F11" i="77"/>
  <c r="F49" i="81"/>
  <c r="L36" i="72"/>
  <c r="J41" i="68"/>
  <c r="L50" i="66"/>
  <c r="F11" i="74"/>
  <c r="I39" i="74"/>
  <c r="K56" i="74"/>
  <c r="H57" i="72"/>
  <c r="D51" i="70"/>
  <c r="H26" i="72"/>
  <c r="L31" i="72"/>
  <c r="L14" i="66"/>
  <c r="K26" i="66"/>
  <c r="F25" i="66"/>
  <c r="H41" i="66"/>
  <c r="L34" i="66"/>
  <c r="F36" i="66"/>
  <c r="L38" i="66"/>
  <c r="F40" i="66"/>
  <c r="L37" i="74"/>
  <c r="G59" i="58"/>
  <c r="L25" i="70"/>
  <c r="L24" i="68"/>
  <c r="L35" i="73"/>
  <c r="L46" i="73"/>
  <c r="L50" i="73"/>
  <c r="I21" i="75"/>
  <c r="L22" i="75"/>
  <c r="L31" i="75"/>
  <c r="F35" i="75"/>
  <c r="F37" i="75"/>
  <c r="I38" i="75"/>
  <c r="K41" i="79"/>
  <c r="L40" i="79"/>
  <c r="K51" i="79"/>
  <c r="D26" i="80"/>
  <c r="J26" i="80"/>
  <c r="I22" i="80"/>
  <c r="H51" i="74"/>
  <c r="J51" i="75"/>
  <c r="F50" i="68"/>
  <c r="E26" i="84"/>
  <c r="D59" i="58"/>
  <c r="K57" i="84"/>
  <c r="L14" i="85"/>
  <c r="L34" i="72"/>
  <c r="L47" i="72"/>
  <c r="L23" i="74"/>
  <c r="I31" i="74"/>
  <c r="G51" i="79"/>
  <c r="I14" i="80"/>
  <c r="I23" i="80"/>
  <c r="I34" i="80"/>
  <c r="I38" i="80"/>
  <c r="J51" i="69"/>
  <c r="G41" i="70"/>
  <c r="L22" i="72"/>
  <c r="K41" i="72"/>
  <c r="L39" i="72"/>
  <c r="K51" i="72"/>
  <c r="L46" i="68"/>
  <c r="I34" i="73"/>
  <c r="L37" i="73"/>
  <c r="D51" i="73"/>
  <c r="J51" i="73"/>
  <c r="I47" i="73"/>
  <c r="I49" i="73"/>
  <c r="F15" i="74"/>
  <c r="H26" i="74"/>
  <c r="L15" i="81"/>
  <c r="I36" i="81"/>
  <c r="J51" i="70"/>
  <c r="L21" i="68"/>
  <c r="L23" i="68"/>
  <c r="G41" i="68"/>
  <c r="L40" i="68"/>
  <c r="L14" i="73"/>
  <c r="F25" i="73"/>
  <c r="I48" i="73"/>
  <c r="I50" i="73"/>
  <c r="L38" i="79"/>
  <c r="L49" i="79"/>
  <c r="I13" i="84"/>
  <c r="L34" i="84"/>
  <c r="L8" i="85"/>
  <c r="L13" i="85"/>
  <c r="L22" i="85"/>
  <c r="L35" i="85"/>
  <c r="L39" i="85"/>
  <c r="L50" i="85"/>
  <c r="I24" i="66"/>
  <c r="H57" i="68"/>
  <c r="F40" i="72"/>
  <c r="H57" i="80"/>
  <c r="D26" i="70"/>
  <c r="F13" i="80"/>
  <c r="F14" i="75"/>
  <c r="F25" i="80"/>
  <c r="H41" i="79"/>
  <c r="L32" i="79"/>
  <c r="I50" i="70"/>
  <c r="G51" i="63"/>
  <c r="D59" i="86"/>
  <c r="J59" i="86"/>
  <c r="D59" i="88"/>
  <c r="J59" i="88"/>
  <c r="C59" i="71"/>
  <c r="I59" i="71"/>
  <c r="L47" i="67"/>
  <c r="G26" i="69"/>
  <c r="J41" i="69"/>
  <c r="C59" i="87"/>
  <c r="I59" i="87"/>
  <c r="F59" i="58"/>
  <c r="J59" i="71"/>
  <c r="G59" i="85"/>
  <c r="F59" i="72"/>
  <c r="J59" i="68"/>
  <c r="I59" i="66"/>
  <c r="D59" i="73"/>
  <c r="J59" i="73"/>
  <c r="F59" i="74"/>
  <c r="J59" i="75"/>
  <c r="I59" i="86"/>
  <c r="C59" i="88"/>
  <c r="I59" i="88"/>
  <c r="F59" i="69"/>
  <c r="G59" i="70"/>
  <c r="K56" i="78"/>
  <c r="L36" i="79"/>
  <c r="K56" i="79"/>
  <c r="F59" i="83"/>
  <c r="D59" i="84"/>
  <c r="J59" i="84"/>
  <c r="D51" i="78"/>
  <c r="G59" i="78"/>
  <c r="F59" i="79"/>
  <c r="D59" i="76"/>
  <c r="C59" i="77"/>
  <c r="D59" i="80"/>
  <c r="J59" i="80"/>
  <c r="C59" i="81"/>
  <c r="G59" i="82"/>
  <c r="D59" i="83"/>
  <c r="J59" i="83"/>
  <c r="C59" i="84"/>
  <c r="I59" i="84"/>
  <c r="F59" i="85"/>
  <c r="C59" i="86"/>
  <c r="J59" i="66"/>
  <c r="L48" i="63"/>
  <c r="F59" i="63"/>
  <c r="F59" i="64"/>
  <c r="G59" i="65"/>
  <c r="G59" i="67"/>
  <c r="D59" i="81"/>
  <c r="I59" i="82"/>
  <c r="I59" i="74"/>
  <c r="D59" i="78"/>
  <c r="J59" i="78"/>
  <c r="D59" i="71"/>
  <c r="J59" i="63"/>
  <c r="J59" i="64"/>
  <c r="F59" i="65"/>
  <c r="F59" i="67"/>
  <c r="J59" i="69"/>
  <c r="F59" i="70"/>
  <c r="J59" i="72"/>
  <c r="I59" i="68"/>
  <c r="G59" i="66"/>
  <c r="C59" i="73"/>
  <c r="I59" i="73"/>
  <c r="J59" i="74"/>
  <c r="I59" i="75"/>
  <c r="F59" i="78"/>
  <c r="J59" i="79"/>
  <c r="C59" i="76"/>
  <c r="C59" i="80"/>
  <c r="I59" i="80"/>
  <c r="F59" i="82"/>
  <c r="C59" i="83"/>
  <c r="I59" i="83"/>
  <c r="I59" i="63"/>
  <c r="I59" i="64"/>
  <c r="J59" i="65"/>
  <c r="D59" i="67"/>
  <c r="J59" i="67"/>
  <c r="I59" i="69"/>
  <c r="D59" i="70"/>
  <c r="J59" i="70"/>
  <c r="I59" i="72"/>
  <c r="G59" i="68"/>
  <c r="F59" i="66"/>
  <c r="G59" i="73"/>
  <c r="G59" i="75"/>
  <c r="I59" i="79"/>
  <c r="J59" i="82"/>
  <c r="G59" i="83"/>
  <c r="F59" i="84"/>
  <c r="C59" i="85"/>
  <c r="I59" i="85"/>
  <c r="D59" i="87"/>
  <c r="J59" i="87"/>
  <c r="G59" i="84"/>
  <c r="D59" i="85"/>
  <c r="J59" i="85"/>
  <c r="G59" i="63"/>
  <c r="G59" i="64"/>
  <c r="I59" i="65"/>
  <c r="C59" i="67"/>
  <c r="I59" i="67"/>
  <c r="G59" i="69"/>
  <c r="C59" i="70"/>
  <c r="I59" i="70"/>
  <c r="G59" i="72"/>
  <c r="F59" i="68"/>
  <c r="F59" i="73"/>
  <c r="G59" i="74"/>
  <c r="F59" i="75"/>
  <c r="C59" i="78"/>
  <c r="I59" i="78"/>
  <c r="G59" i="79"/>
  <c r="D59" i="77"/>
  <c r="L50" i="64"/>
  <c r="L34" i="78"/>
  <c r="L36" i="78"/>
  <c r="J51" i="65"/>
  <c r="K26" i="84"/>
  <c r="F8" i="73"/>
  <c r="L38" i="67"/>
  <c r="I23" i="70"/>
  <c r="I49" i="70"/>
  <c r="F25" i="68"/>
  <c r="L38" i="68"/>
  <c r="I13" i="73"/>
  <c r="F21" i="73"/>
  <c r="F12" i="82"/>
  <c r="F13" i="74"/>
  <c r="L38" i="69"/>
  <c r="L40" i="69"/>
  <c r="L47" i="69"/>
  <c r="F50" i="69"/>
  <c r="E57" i="74"/>
  <c r="F34" i="75"/>
  <c r="F31" i="84"/>
  <c r="E41" i="78"/>
  <c r="E51" i="84"/>
  <c r="E26" i="85"/>
  <c r="G51" i="67"/>
  <c r="H41" i="68"/>
  <c r="F37" i="64"/>
  <c r="F39" i="64"/>
  <c r="E57" i="64"/>
  <c r="K57" i="64"/>
  <c r="K57" i="65"/>
  <c r="H51" i="64"/>
  <c r="K56" i="64"/>
  <c r="L37" i="69"/>
  <c r="K51" i="69"/>
  <c r="K57" i="69"/>
  <c r="F14" i="70"/>
  <c r="I15" i="70"/>
  <c r="L34" i="70"/>
  <c r="L38" i="70"/>
  <c r="H51" i="70"/>
  <c r="L47" i="70"/>
  <c r="L49" i="70"/>
  <c r="F37" i="68"/>
  <c r="L48" i="68"/>
  <c r="K16" i="66"/>
  <c r="E41" i="73"/>
  <c r="L31" i="73"/>
  <c r="E51" i="73"/>
  <c r="K51" i="73"/>
  <c r="L10" i="75"/>
  <c r="K26" i="75"/>
  <c r="K41" i="75"/>
  <c r="F24" i="79"/>
  <c r="H56" i="63"/>
  <c r="L38" i="78"/>
  <c r="L38" i="84"/>
  <c r="L46" i="69"/>
  <c r="E57" i="79"/>
  <c r="E57" i="65"/>
  <c r="H56" i="69"/>
  <c r="I39" i="65"/>
  <c r="L10" i="67"/>
  <c r="D51" i="71"/>
  <c r="K41" i="65"/>
  <c r="J41" i="67"/>
  <c r="H41" i="69"/>
  <c r="G41" i="72"/>
  <c r="K51" i="68"/>
  <c r="H16" i="66"/>
  <c r="G26" i="66"/>
  <c r="H26" i="75"/>
  <c r="D41" i="78"/>
  <c r="J51" i="78"/>
  <c r="E16" i="78"/>
  <c r="H26" i="78"/>
  <c r="E51" i="78"/>
  <c r="F10" i="82"/>
  <c r="F14" i="82"/>
  <c r="I22" i="82"/>
  <c r="I31" i="82"/>
  <c r="L32" i="82"/>
  <c r="I35" i="82"/>
  <c r="L49" i="82"/>
  <c r="I21" i="67"/>
  <c r="G41" i="67"/>
  <c r="L46" i="67"/>
  <c r="D16" i="69"/>
  <c r="F12" i="69"/>
  <c r="I13" i="69"/>
  <c r="I15" i="69"/>
  <c r="F25" i="69"/>
  <c r="L32" i="69"/>
  <c r="F34" i="69"/>
  <c r="I35" i="69"/>
  <c r="L36" i="69"/>
  <c r="L40" i="70"/>
  <c r="H57" i="70"/>
  <c r="I7" i="72"/>
  <c r="F13" i="68"/>
  <c r="F24" i="68"/>
  <c r="F31" i="68"/>
  <c r="I32" i="68"/>
  <c r="F33" i="68"/>
  <c r="F35" i="68"/>
  <c r="I40" i="68"/>
  <c r="I13" i="74"/>
  <c r="I15" i="74"/>
  <c r="I22" i="74"/>
  <c r="I24" i="74"/>
  <c r="I35" i="74"/>
  <c r="I37" i="74"/>
  <c r="I23" i="75"/>
  <c r="F24" i="75"/>
  <c r="F31" i="75"/>
  <c r="F11" i="78"/>
  <c r="G26" i="78"/>
  <c r="L48" i="78"/>
  <c r="L12" i="79"/>
  <c r="H26" i="79"/>
  <c r="L23" i="79"/>
  <c r="L25" i="79"/>
  <c r="L34" i="79"/>
  <c r="G16" i="77"/>
  <c r="E41" i="77"/>
  <c r="L37" i="77"/>
  <c r="E51" i="77"/>
  <c r="F48" i="77"/>
  <c r="F50" i="77"/>
  <c r="L50" i="77"/>
  <c r="I15" i="81"/>
  <c r="I22" i="81"/>
  <c r="I24" i="81"/>
  <c r="I48" i="81"/>
  <c r="H57" i="81"/>
  <c r="F6" i="82"/>
  <c r="F8" i="82"/>
  <c r="H26" i="82"/>
  <c r="K41" i="82"/>
  <c r="H41" i="82"/>
  <c r="H16" i="83"/>
  <c r="D26" i="84"/>
  <c r="L49" i="84"/>
  <c r="K56" i="84"/>
  <c r="D16" i="85"/>
  <c r="D51" i="85"/>
  <c r="J51" i="85"/>
  <c r="D16" i="86"/>
  <c r="E26" i="87"/>
  <c r="E41" i="87"/>
  <c r="H26" i="67"/>
  <c r="E41" i="67"/>
  <c r="F10" i="87"/>
  <c r="F12" i="87"/>
  <c r="F14" i="64"/>
  <c r="L32" i="64"/>
  <c r="F38" i="64"/>
  <c r="L32" i="72"/>
  <c r="L38" i="72"/>
  <c r="L40" i="72"/>
  <c r="L49" i="72"/>
  <c r="K56" i="72"/>
  <c r="F8" i="68"/>
  <c r="G41" i="63"/>
  <c r="I11" i="74"/>
  <c r="I15" i="78"/>
  <c r="L32" i="78"/>
  <c r="L49" i="78"/>
  <c r="F11" i="76"/>
  <c r="H26" i="63"/>
  <c r="G26" i="64"/>
  <c r="G51" i="64"/>
  <c r="J51" i="64"/>
  <c r="G51" i="65"/>
  <c r="E26" i="78"/>
  <c r="H51" i="78"/>
  <c r="D26" i="77"/>
  <c r="G16" i="80"/>
  <c r="I11" i="65"/>
  <c r="I13" i="65"/>
  <c r="L32" i="73"/>
  <c r="L38" i="73"/>
  <c r="H57" i="73"/>
  <c r="I10" i="75"/>
  <c r="F15" i="86"/>
  <c r="F22" i="86"/>
  <c r="F31" i="86"/>
  <c r="L37" i="86"/>
  <c r="F9" i="87"/>
  <c r="D41" i="87"/>
  <c r="D51" i="87"/>
  <c r="J51" i="87"/>
  <c r="I12" i="88"/>
  <c r="E26" i="88"/>
  <c r="F11" i="71"/>
  <c r="F13" i="71"/>
  <c r="F15" i="71"/>
  <c r="F24" i="71"/>
  <c r="L33" i="71"/>
  <c r="L46" i="71"/>
  <c r="L48" i="71"/>
  <c r="L50" i="71"/>
  <c r="L32" i="80"/>
  <c r="L40" i="80"/>
  <c r="L38" i="88"/>
  <c r="L8" i="71"/>
  <c r="F11" i="64"/>
  <c r="I12" i="64"/>
  <c r="F13" i="64"/>
  <c r="F15" i="64"/>
  <c r="F22" i="64"/>
  <c r="F31" i="64"/>
  <c r="F33" i="64"/>
  <c r="F35" i="64"/>
  <c r="L37" i="64"/>
  <c r="L39" i="64"/>
  <c r="F48" i="64"/>
  <c r="I12" i="65"/>
  <c r="F15" i="65"/>
  <c r="L33" i="65"/>
  <c r="L35" i="65"/>
  <c r="I11" i="75"/>
  <c r="J41" i="80"/>
  <c r="I32" i="80"/>
  <c r="I36" i="80"/>
  <c r="I40" i="80"/>
  <c r="D51" i="80"/>
  <c r="J51" i="80"/>
  <c r="L50" i="80"/>
  <c r="K57" i="80"/>
  <c r="I11" i="81"/>
  <c r="D51" i="86"/>
  <c r="K57" i="86"/>
  <c r="I13" i="87"/>
  <c r="I15" i="87"/>
  <c r="K26" i="87"/>
  <c r="I33" i="87"/>
  <c r="I35" i="87"/>
  <c r="I37" i="87"/>
  <c r="D41" i="88"/>
  <c r="J41" i="88"/>
  <c r="D51" i="88"/>
  <c r="F9" i="71"/>
  <c r="K26" i="71"/>
  <c r="L32" i="71"/>
  <c r="I11" i="63"/>
  <c r="I13" i="63"/>
  <c r="F14" i="63"/>
  <c r="I15" i="63"/>
  <c r="F23" i="63"/>
  <c r="F25" i="63"/>
  <c r="F36" i="63"/>
  <c r="L38" i="63"/>
  <c r="L40" i="63"/>
  <c r="J51" i="63"/>
  <c r="L33" i="69"/>
  <c r="L35" i="69"/>
  <c r="L39" i="69"/>
  <c r="L48" i="69"/>
  <c r="L50" i="69"/>
  <c r="L10" i="70"/>
  <c r="F10" i="68"/>
  <c r="F12" i="68"/>
  <c r="F23" i="68"/>
  <c r="F32" i="68"/>
  <c r="L32" i="68"/>
  <c r="F34" i="68"/>
  <c r="F36" i="68"/>
  <c r="L36" i="68"/>
  <c r="F38" i="68"/>
  <c r="L49" i="68"/>
  <c r="K56" i="68"/>
  <c r="I13" i="75"/>
  <c r="I15" i="75"/>
  <c r="I22" i="75"/>
  <c r="I24" i="75"/>
  <c r="I33" i="75"/>
  <c r="L47" i="75"/>
  <c r="L49" i="75"/>
  <c r="H57" i="75"/>
  <c r="L33" i="79"/>
  <c r="L35" i="79"/>
  <c r="L37" i="79"/>
  <c r="L39" i="79"/>
  <c r="L46" i="79"/>
  <c r="L48" i="79"/>
  <c r="L50" i="79"/>
  <c r="K57" i="79"/>
  <c r="I10" i="80"/>
  <c r="F11" i="82"/>
  <c r="F13" i="82"/>
  <c r="L33" i="82"/>
  <c r="L37" i="82"/>
  <c r="E16" i="84"/>
  <c r="F8" i="84"/>
  <c r="K57" i="85"/>
  <c r="L32" i="86"/>
  <c r="I33" i="86"/>
  <c r="I35" i="86"/>
  <c r="I37" i="86"/>
  <c r="L38" i="86"/>
  <c r="I39" i="86"/>
  <c r="L40" i="86"/>
  <c r="L49" i="86"/>
  <c r="I50" i="86"/>
  <c r="K56" i="86"/>
  <c r="F8" i="87"/>
  <c r="I21" i="87"/>
  <c r="L33" i="87"/>
  <c r="L39" i="87"/>
  <c r="F10" i="88"/>
  <c r="F12" i="88"/>
  <c r="F23" i="88"/>
  <c r="F25" i="88"/>
  <c r="L32" i="88"/>
  <c r="D16" i="71"/>
  <c r="K26" i="63"/>
  <c r="H41" i="63"/>
  <c r="H51" i="63"/>
  <c r="E26" i="80"/>
  <c r="G26" i="83"/>
  <c r="D41" i="83"/>
  <c r="J41" i="83"/>
  <c r="D51" i="83"/>
  <c r="H51" i="84"/>
  <c r="E16" i="71"/>
  <c r="L14" i="65"/>
  <c r="L15" i="84"/>
  <c r="L24" i="84"/>
  <c r="L10" i="85"/>
  <c r="J26" i="79"/>
  <c r="L10" i="83"/>
  <c r="L25" i="83"/>
  <c r="L8" i="84"/>
  <c r="L13" i="87"/>
  <c r="L24" i="73"/>
  <c r="L10" i="78"/>
  <c r="L12" i="78"/>
  <c r="L14" i="78"/>
  <c r="K26" i="80"/>
  <c r="K26" i="88"/>
  <c r="L11" i="64"/>
  <c r="L13" i="64"/>
  <c r="L15" i="64"/>
  <c r="L22" i="64"/>
  <c r="L24" i="64"/>
  <c r="L12" i="65"/>
  <c r="L23" i="65"/>
  <c r="L25" i="65"/>
  <c r="L11" i="69"/>
  <c r="L13" i="69"/>
  <c r="L15" i="69"/>
  <c r="L24" i="69"/>
  <c r="L21" i="70"/>
  <c r="L10" i="72"/>
  <c r="L12" i="72"/>
  <c r="L14" i="72"/>
  <c r="L23" i="72"/>
  <c r="L25" i="72"/>
  <c r="L8" i="68"/>
  <c r="K26" i="68"/>
  <c r="L13" i="75"/>
  <c r="L11" i="71"/>
  <c r="K16" i="64"/>
  <c r="J26" i="64"/>
  <c r="L23" i="64"/>
  <c r="L11" i="65"/>
  <c r="L13" i="65"/>
  <c r="L15" i="65"/>
  <c r="L22" i="65"/>
  <c r="L24" i="65"/>
  <c r="K26" i="65"/>
  <c r="K26" i="70"/>
  <c r="L10" i="68"/>
  <c r="L12" i="68"/>
  <c r="L21" i="75"/>
  <c r="L23" i="75"/>
  <c r="L13" i="80"/>
  <c r="L15" i="80"/>
  <c r="L8" i="86"/>
  <c r="L15" i="86"/>
  <c r="L15" i="88"/>
  <c r="K16" i="63"/>
  <c r="K26" i="73"/>
  <c r="L8" i="82"/>
  <c r="J16" i="85"/>
  <c r="L11" i="85"/>
  <c r="L15" i="85"/>
  <c r="J16" i="86"/>
  <c r="L14" i="86"/>
  <c r="J26" i="86"/>
  <c r="J16" i="87"/>
  <c r="L10" i="88"/>
  <c r="L12" i="88"/>
  <c r="L14" i="88"/>
  <c r="J26" i="88"/>
  <c r="L23" i="88"/>
  <c r="L8" i="67"/>
  <c r="L24" i="67"/>
  <c r="L7" i="74"/>
  <c r="L12" i="82"/>
  <c r="K16" i="87"/>
  <c r="L6" i="88"/>
  <c r="F32" i="63"/>
  <c r="L36" i="63"/>
  <c r="I37" i="63"/>
  <c r="K56" i="63"/>
  <c r="J26" i="65"/>
  <c r="L34" i="63"/>
  <c r="L15" i="63"/>
  <c r="G26" i="63"/>
  <c r="G41" i="65"/>
  <c r="H26" i="64"/>
  <c r="K41" i="64"/>
  <c r="K51" i="64"/>
  <c r="H26" i="65"/>
  <c r="H41" i="65"/>
  <c r="H51" i="65"/>
  <c r="K51" i="65"/>
  <c r="L49" i="65"/>
  <c r="L13" i="78"/>
  <c r="L15" i="78"/>
  <c r="L22" i="78"/>
  <c r="F33" i="78"/>
  <c r="L50" i="78"/>
  <c r="H16" i="79"/>
  <c r="L47" i="76"/>
  <c r="K56" i="76"/>
  <c r="E16" i="77"/>
  <c r="L37" i="65"/>
  <c r="L39" i="65"/>
  <c r="L46" i="65"/>
  <c r="L48" i="65"/>
  <c r="L50" i="65"/>
  <c r="I13" i="67"/>
  <c r="L14" i="67"/>
  <c r="E26" i="67"/>
  <c r="K26" i="67"/>
  <c r="I33" i="67"/>
  <c r="L34" i="67"/>
  <c r="L36" i="67"/>
  <c r="L40" i="67"/>
  <c r="H51" i="67"/>
  <c r="E51" i="67"/>
  <c r="L49" i="67"/>
  <c r="G41" i="69"/>
  <c r="G51" i="69"/>
  <c r="G51" i="70"/>
  <c r="I12" i="72"/>
  <c r="L33" i="72"/>
  <c r="L50" i="72"/>
  <c r="J26" i="68"/>
  <c r="J51" i="68"/>
  <c r="L21" i="66"/>
  <c r="F23" i="66"/>
  <c r="L23" i="66"/>
  <c r="L25" i="66"/>
  <c r="F32" i="66"/>
  <c r="K41" i="66"/>
  <c r="L36" i="66"/>
  <c r="L40" i="66"/>
  <c r="H51" i="66"/>
  <c r="J26" i="73"/>
  <c r="G41" i="73"/>
  <c r="G51" i="73"/>
  <c r="F37" i="74"/>
  <c r="K51" i="74"/>
  <c r="J26" i="75"/>
  <c r="J41" i="75"/>
  <c r="I10" i="81"/>
  <c r="I14" i="81"/>
  <c r="F15" i="81"/>
  <c r="E41" i="81"/>
  <c r="L48" i="81"/>
  <c r="L50" i="81"/>
  <c r="K57" i="81"/>
  <c r="F9" i="82"/>
  <c r="G16" i="83"/>
  <c r="I12" i="84"/>
  <c r="F22" i="84"/>
  <c r="L22" i="84"/>
  <c r="F24" i="84"/>
  <c r="I25" i="84"/>
  <c r="L33" i="84"/>
  <c r="F35" i="84"/>
  <c r="L35" i="84"/>
  <c r="F50" i="84"/>
  <c r="F9" i="85"/>
  <c r="I24" i="85"/>
  <c r="H51" i="85"/>
  <c r="F12" i="63"/>
  <c r="H16" i="63"/>
  <c r="F9" i="63"/>
  <c r="J41" i="63"/>
  <c r="I15" i="64"/>
  <c r="K26" i="64"/>
  <c r="H41" i="64"/>
  <c r="F34" i="64"/>
  <c r="L34" i="64"/>
  <c r="L36" i="64"/>
  <c r="L38" i="64"/>
  <c r="L47" i="64"/>
  <c r="F49" i="64"/>
  <c r="L49" i="64"/>
  <c r="G26" i="65"/>
  <c r="J41" i="65"/>
  <c r="K41" i="67"/>
  <c r="K51" i="67"/>
  <c r="K57" i="67"/>
  <c r="H16" i="69"/>
  <c r="J26" i="70"/>
  <c r="D41" i="70"/>
  <c r="F25" i="72"/>
  <c r="F34" i="72"/>
  <c r="K16" i="68"/>
  <c r="G16" i="63"/>
  <c r="F10" i="63"/>
  <c r="L7" i="63"/>
  <c r="J16" i="63"/>
  <c r="I10" i="63"/>
  <c r="L11" i="63"/>
  <c r="L13" i="63"/>
  <c r="I14" i="63"/>
  <c r="K41" i="63"/>
  <c r="I32" i="63"/>
  <c r="L33" i="63"/>
  <c r="I34" i="63"/>
  <c r="L39" i="63"/>
  <c r="K51" i="63"/>
  <c r="F48" i="63"/>
  <c r="F50" i="63"/>
  <c r="L50" i="63"/>
  <c r="E57" i="63"/>
  <c r="K57" i="63"/>
  <c r="I8" i="64"/>
  <c r="F9" i="64"/>
  <c r="J41" i="64"/>
  <c r="F11" i="65"/>
  <c r="I14" i="65"/>
  <c r="I32" i="65"/>
  <c r="I36" i="65"/>
  <c r="I40" i="65"/>
  <c r="G16" i="67"/>
  <c r="H26" i="69"/>
  <c r="L22" i="69"/>
  <c r="L8" i="70"/>
  <c r="L24" i="70"/>
  <c r="I25" i="70"/>
  <c r="E41" i="70"/>
  <c r="I32" i="70"/>
  <c r="I34" i="70"/>
  <c r="I36" i="70"/>
  <c r="L37" i="70"/>
  <c r="I38" i="70"/>
  <c r="I40" i="70"/>
  <c r="K51" i="70"/>
  <c r="J51" i="72"/>
  <c r="K16" i="65"/>
  <c r="H16" i="65"/>
  <c r="H16" i="67"/>
  <c r="K16" i="69"/>
  <c r="L49" i="69"/>
  <c r="I33" i="70"/>
  <c r="I35" i="70"/>
  <c r="I37" i="70"/>
  <c r="I39" i="70"/>
  <c r="J16" i="72"/>
  <c r="L8" i="72"/>
  <c r="G51" i="68"/>
  <c r="L11" i="66"/>
  <c r="H26" i="66"/>
  <c r="I23" i="66"/>
  <c r="L24" i="66"/>
  <c r="L35" i="66"/>
  <c r="L39" i="66"/>
  <c r="K51" i="66"/>
  <c r="I8" i="73"/>
  <c r="G26" i="73"/>
  <c r="D41" i="73"/>
  <c r="F14" i="74"/>
  <c r="L21" i="74"/>
  <c r="L25" i="74"/>
  <c r="F32" i="74"/>
  <c r="K41" i="74"/>
  <c r="L34" i="74"/>
  <c r="L36" i="74"/>
  <c r="G41" i="75"/>
  <c r="G51" i="75"/>
  <c r="G41" i="78"/>
  <c r="F7" i="76"/>
  <c r="F9" i="76"/>
  <c r="L10" i="77"/>
  <c r="I13" i="77"/>
  <c r="L14" i="77"/>
  <c r="I15" i="77"/>
  <c r="L23" i="77"/>
  <c r="F32" i="77"/>
  <c r="L32" i="77"/>
  <c r="F40" i="77"/>
  <c r="L40" i="77"/>
  <c r="F47" i="77"/>
  <c r="K56" i="77"/>
  <c r="E51" i="80"/>
  <c r="I13" i="81"/>
  <c r="L14" i="81"/>
  <c r="L23" i="81"/>
  <c r="L32" i="81"/>
  <c r="I35" i="81"/>
  <c r="I39" i="81"/>
  <c r="K56" i="81"/>
  <c r="K16" i="82"/>
  <c r="G16" i="84"/>
  <c r="F12" i="84"/>
  <c r="F14" i="84"/>
  <c r="I24" i="84"/>
  <c r="L25" i="84"/>
  <c r="I31" i="84"/>
  <c r="F32" i="84"/>
  <c r="I33" i="84"/>
  <c r="F34" i="84"/>
  <c r="I37" i="84"/>
  <c r="L47" i="84"/>
  <c r="E41" i="85"/>
  <c r="L12" i="86"/>
  <c r="I15" i="86"/>
  <c r="G16" i="68"/>
  <c r="F14" i="68"/>
  <c r="H26" i="68"/>
  <c r="L25" i="68"/>
  <c r="I35" i="68"/>
  <c r="H51" i="68"/>
  <c r="J26" i="66"/>
  <c r="G51" i="66"/>
  <c r="L8" i="73"/>
  <c r="I10" i="73"/>
  <c r="I14" i="73"/>
  <c r="H26" i="73"/>
  <c r="I23" i="73"/>
  <c r="I38" i="73"/>
  <c r="L11" i="74"/>
  <c r="L13" i="74"/>
  <c r="L22" i="74"/>
  <c r="L24" i="74"/>
  <c r="L33" i="74"/>
  <c r="L35" i="74"/>
  <c r="L39" i="74"/>
  <c r="L48" i="74"/>
  <c r="K57" i="74"/>
  <c r="F32" i="78"/>
  <c r="K26" i="78"/>
  <c r="K16" i="78"/>
  <c r="F10" i="78"/>
  <c r="F14" i="78"/>
  <c r="F25" i="78"/>
  <c r="H41" i="78"/>
  <c r="L40" i="78"/>
  <c r="L8" i="79"/>
  <c r="L10" i="79"/>
  <c r="L14" i="79"/>
  <c r="D16" i="76"/>
  <c r="F13" i="76"/>
  <c r="L24" i="76"/>
  <c r="E41" i="76"/>
  <c r="L35" i="76"/>
  <c r="L39" i="76"/>
  <c r="L7" i="77"/>
  <c r="D41" i="77"/>
  <c r="D51" i="77"/>
  <c r="I6" i="80"/>
  <c r="I8" i="80"/>
  <c r="I11" i="80"/>
  <c r="I13" i="80"/>
  <c r="I15" i="80"/>
  <c r="F34" i="80"/>
  <c r="F38" i="80"/>
  <c r="F47" i="80"/>
  <c r="I48" i="80"/>
  <c r="K26" i="82"/>
  <c r="L47" i="82"/>
  <c r="E16" i="83"/>
  <c r="K16" i="83"/>
  <c r="I14" i="83"/>
  <c r="L24" i="83"/>
  <c r="E41" i="83"/>
  <c r="K41" i="83"/>
  <c r="L35" i="83"/>
  <c r="L39" i="83"/>
  <c r="K51" i="83"/>
  <c r="L48" i="83"/>
  <c r="H16" i="84"/>
  <c r="G26" i="84"/>
  <c r="J41" i="84"/>
  <c r="D51" i="84"/>
  <c r="J51" i="84"/>
  <c r="L7" i="85"/>
  <c r="L12" i="85"/>
  <c r="L32" i="85"/>
  <c r="L34" i="85"/>
  <c r="L36" i="85"/>
  <c r="L38" i="85"/>
  <c r="L40" i="85"/>
  <c r="L49" i="85"/>
  <c r="J41" i="86"/>
  <c r="L10" i="73"/>
  <c r="F23" i="73"/>
  <c r="L23" i="73"/>
  <c r="L25" i="73"/>
  <c r="L34" i="73"/>
  <c r="L36" i="73"/>
  <c r="K56" i="73"/>
  <c r="L24" i="75"/>
  <c r="L33" i="75"/>
  <c r="L35" i="75"/>
  <c r="L37" i="75"/>
  <c r="L39" i="75"/>
  <c r="L48" i="75"/>
  <c r="L50" i="75"/>
  <c r="L8" i="78"/>
  <c r="J16" i="79"/>
  <c r="H16" i="82"/>
  <c r="K57" i="82"/>
  <c r="J26" i="83"/>
  <c r="G41" i="83"/>
  <c r="I33" i="83"/>
  <c r="I35" i="83"/>
  <c r="I37" i="83"/>
  <c r="L38" i="83"/>
  <c r="I39" i="83"/>
  <c r="L40" i="83"/>
  <c r="E41" i="84"/>
  <c r="K41" i="84"/>
  <c r="H16" i="85"/>
  <c r="K56" i="88"/>
  <c r="L7" i="88"/>
  <c r="L11" i="88"/>
  <c r="L24" i="88"/>
  <c r="L48" i="88"/>
  <c r="L50" i="88"/>
  <c r="K57" i="88"/>
  <c r="I7" i="88"/>
  <c r="I15" i="88"/>
  <c r="I22" i="88"/>
  <c r="I24" i="88"/>
  <c r="I33" i="88"/>
  <c r="I37" i="88"/>
  <c r="I38" i="88"/>
  <c r="I11" i="88"/>
  <c r="I35" i="88"/>
  <c r="I10" i="88"/>
  <c r="I14" i="88"/>
  <c r="I32" i="88"/>
  <c r="I34" i="88"/>
  <c r="I36" i="88"/>
  <c r="F11" i="88"/>
  <c r="F15" i="88"/>
  <c r="H57" i="88"/>
  <c r="I40" i="88"/>
  <c r="I6" i="88"/>
  <c r="F13" i="88"/>
  <c r="E65" i="88"/>
  <c r="L65" i="88" s="1"/>
  <c r="L8" i="87"/>
  <c r="L10" i="87"/>
  <c r="L12" i="87"/>
  <c r="L23" i="87"/>
  <c r="L36" i="87"/>
  <c r="L47" i="87"/>
  <c r="L49" i="87"/>
  <c r="L7" i="87"/>
  <c r="L15" i="87"/>
  <c r="L24" i="87"/>
  <c r="L31" i="87"/>
  <c r="L37" i="87"/>
  <c r="K57" i="87"/>
  <c r="H65" i="87"/>
  <c r="I7" i="87"/>
  <c r="I39" i="87"/>
  <c r="I50" i="87"/>
  <c r="I24" i="87"/>
  <c r="I31" i="87"/>
  <c r="I48" i="87"/>
  <c r="I8" i="87"/>
  <c r="I10" i="87"/>
  <c r="I12" i="87"/>
  <c r="I14" i="87"/>
  <c r="I23" i="87"/>
  <c r="I25" i="87"/>
  <c r="I34" i="87"/>
  <c r="I36" i="87"/>
  <c r="I38" i="87"/>
  <c r="I40" i="87"/>
  <c r="I47" i="87"/>
  <c r="I49" i="87"/>
  <c r="H56" i="87"/>
  <c r="F6" i="87"/>
  <c r="E16" i="87"/>
  <c r="E65" i="87"/>
  <c r="F7" i="87"/>
  <c r="F11" i="87"/>
  <c r="F13" i="87"/>
  <c r="J41" i="87"/>
  <c r="I6" i="87"/>
  <c r="I11" i="87"/>
  <c r="I9" i="87"/>
  <c r="L11" i="86"/>
  <c r="L13" i="86"/>
  <c r="L24" i="86"/>
  <c r="L33" i="86"/>
  <c r="L35" i="86"/>
  <c r="I13" i="86"/>
  <c r="I48" i="86"/>
  <c r="I23" i="86"/>
  <c r="I32" i="86"/>
  <c r="I47" i="86"/>
  <c r="I49" i="86"/>
  <c r="F37" i="86"/>
  <c r="F48" i="86"/>
  <c r="F8" i="86"/>
  <c r="F10" i="86"/>
  <c r="F12" i="86"/>
  <c r="F25" i="86"/>
  <c r="F32" i="86"/>
  <c r="F34" i="86"/>
  <c r="F36" i="86"/>
  <c r="F38" i="86"/>
  <c r="F40" i="86"/>
  <c r="F47" i="86"/>
  <c r="F33" i="86"/>
  <c r="E65" i="86"/>
  <c r="F9" i="86"/>
  <c r="F11" i="86"/>
  <c r="F24" i="86"/>
  <c r="E57" i="86"/>
  <c r="L21" i="86"/>
  <c r="I34" i="86"/>
  <c r="I36" i="86"/>
  <c r="H56" i="86"/>
  <c r="H57" i="86"/>
  <c r="I6" i="86"/>
  <c r="I9" i="86"/>
  <c r="I12" i="86"/>
  <c r="I38" i="86"/>
  <c r="H65" i="86"/>
  <c r="I25" i="86"/>
  <c r="I8" i="86"/>
  <c r="I10" i="86"/>
  <c r="I14" i="86"/>
  <c r="F23" i="86"/>
  <c r="F35" i="86"/>
  <c r="F39" i="86"/>
  <c r="F49" i="86"/>
  <c r="F13" i="86"/>
  <c r="K16" i="85"/>
  <c r="I7" i="85"/>
  <c r="I11" i="85"/>
  <c r="H65" i="85"/>
  <c r="L65" i="85" s="1"/>
  <c r="I6" i="85"/>
  <c r="I8" i="85"/>
  <c r="I10" i="85"/>
  <c r="I12" i="85"/>
  <c r="F25" i="85"/>
  <c r="F8" i="85"/>
  <c r="F10" i="85"/>
  <c r="F12" i="85"/>
  <c r="F11" i="85"/>
  <c r="F15" i="85"/>
  <c r="H57" i="85"/>
  <c r="F7" i="85"/>
  <c r="F13" i="85"/>
  <c r="L10" i="84"/>
  <c r="L12" i="84"/>
  <c r="L14" i="84"/>
  <c r="L23" i="84"/>
  <c r="L36" i="84"/>
  <c r="L7" i="84"/>
  <c r="L11" i="84"/>
  <c r="L13" i="84"/>
  <c r="L37" i="84"/>
  <c r="L39" i="84"/>
  <c r="L50" i="84"/>
  <c r="I11" i="84"/>
  <c r="I15" i="84"/>
  <c r="I22" i="84"/>
  <c r="I35" i="84"/>
  <c r="I39" i="84"/>
  <c r="H57" i="84"/>
  <c r="I8" i="84"/>
  <c r="I10" i="84"/>
  <c r="I14" i="84"/>
  <c r="I23" i="84"/>
  <c r="I47" i="84"/>
  <c r="I49" i="84"/>
  <c r="E57" i="84"/>
  <c r="F10" i="84"/>
  <c r="F23" i="84"/>
  <c r="F25" i="84"/>
  <c r="F36" i="84"/>
  <c r="F38" i="84"/>
  <c r="F40" i="84"/>
  <c r="F47" i="84"/>
  <c r="F49" i="84"/>
  <c r="E56" i="84"/>
  <c r="F9" i="84"/>
  <c r="F11" i="84"/>
  <c r="F13" i="84"/>
  <c r="F15" i="84"/>
  <c r="F48" i="84"/>
  <c r="H56" i="84"/>
  <c r="F39" i="84"/>
  <c r="L6" i="83"/>
  <c r="L12" i="83"/>
  <c r="L23" i="83"/>
  <c r="L32" i="83"/>
  <c r="L34" i="83"/>
  <c r="L36" i="83"/>
  <c r="K26" i="83"/>
  <c r="L7" i="83"/>
  <c r="L11" i="83"/>
  <c r="L13" i="83"/>
  <c r="L15" i="83"/>
  <c r="K57" i="83"/>
  <c r="I47" i="83"/>
  <c r="I8" i="83"/>
  <c r="I10" i="83"/>
  <c r="I12" i="83"/>
  <c r="I23" i="83"/>
  <c r="I32" i="83"/>
  <c r="I34" i="83"/>
  <c r="I36" i="83"/>
  <c r="I38" i="83"/>
  <c r="I40" i="83"/>
  <c r="H56" i="83"/>
  <c r="F8" i="83"/>
  <c r="F12" i="83"/>
  <c r="F47" i="83"/>
  <c r="F49" i="83"/>
  <c r="F7" i="83"/>
  <c r="F9" i="83"/>
  <c r="F13" i="83"/>
  <c r="F15" i="83"/>
  <c r="F22" i="83"/>
  <c r="F33" i="83"/>
  <c r="F35" i="83"/>
  <c r="F37" i="83"/>
  <c r="F39" i="83"/>
  <c r="K56" i="83"/>
  <c r="F24" i="83"/>
  <c r="F32" i="83"/>
  <c r="F36" i="83"/>
  <c r="F40" i="83"/>
  <c r="F48" i="83"/>
  <c r="F14" i="83"/>
  <c r="F25" i="83"/>
  <c r="F34" i="83"/>
  <c r="F38" i="83"/>
  <c r="F50" i="83"/>
  <c r="D16" i="83"/>
  <c r="F31" i="83"/>
  <c r="F11" i="83"/>
  <c r="P26" i="83"/>
  <c r="L11" i="82"/>
  <c r="L13" i="82"/>
  <c r="L15" i="82"/>
  <c r="L24" i="82"/>
  <c r="L35" i="82"/>
  <c r="L39" i="82"/>
  <c r="I47" i="82"/>
  <c r="I8" i="82"/>
  <c r="I10" i="82"/>
  <c r="I12" i="82"/>
  <c r="I14" i="82"/>
  <c r="I21" i="82"/>
  <c r="I23" i="82"/>
  <c r="I25" i="82"/>
  <c r="I32" i="82"/>
  <c r="I34" i="82"/>
  <c r="I36" i="82"/>
  <c r="I40" i="82"/>
  <c r="I49" i="82"/>
  <c r="H56" i="82"/>
  <c r="F7" i="82"/>
  <c r="J16" i="82"/>
  <c r="L7" i="82"/>
  <c r="I13" i="82"/>
  <c r="G41" i="82"/>
  <c r="I39" i="82"/>
  <c r="I50" i="82"/>
  <c r="I37" i="82"/>
  <c r="I48" i="82"/>
  <c r="H57" i="82"/>
  <c r="G16" i="82"/>
  <c r="I11" i="82"/>
  <c r="I9" i="82"/>
  <c r="I24" i="82"/>
  <c r="I33" i="82"/>
  <c r="I38" i="82"/>
  <c r="F32" i="82"/>
  <c r="L8" i="81"/>
  <c r="L10" i="81"/>
  <c r="L25" i="81"/>
  <c r="L34" i="81"/>
  <c r="L36" i="81"/>
  <c r="L38" i="81"/>
  <c r="L40" i="81"/>
  <c r="L47" i="81"/>
  <c r="L49" i="81"/>
  <c r="L11" i="81"/>
  <c r="L22" i="81"/>
  <c r="L33" i="81"/>
  <c r="L35" i="81"/>
  <c r="L37" i="81"/>
  <c r="L39" i="81"/>
  <c r="I7" i="81"/>
  <c r="I31" i="81"/>
  <c r="I34" i="81"/>
  <c r="I8" i="81"/>
  <c r="I32" i="81"/>
  <c r="I47" i="81"/>
  <c r="I49" i="81"/>
  <c r="F25" i="81"/>
  <c r="F40" i="81"/>
  <c r="F24" i="81"/>
  <c r="F47" i="81"/>
  <c r="F34" i="81"/>
  <c r="F36" i="81"/>
  <c r="F50" i="81"/>
  <c r="F7" i="81"/>
  <c r="F9" i="81"/>
  <c r="F11" i="81"/>
  <c r="F13" i="81"/>
  <c r="F22" i="81"/>
  <c r="F31" i="81"/>
  <c r="F33" i="81"/>
  <c r="F48" i="81"/>
  <c r="E57" i="81"/>
  <c r="L7" i="81"/>
  <c r="H56" i="81"/>
  <c r="F10" i="81"/>
  <c r="F23" i="81"/>
  <c r="F35" i="81"/>
  <c r="F38" i="81"/>
  <c r="F8" i="81"/>
  <c r="F14" i="81"/>
  <c r="K41" i="80"/>
  <c r="L14" i="80"/>
  <c r="L37" i="80"/>
  <c r="L38" i="80"/>
  <c r="L49" i="80"/>
  <c r="L7" i="80"/>
  <c r="L11" i="80"/>
  <c r="L22" i="80"/>
  <c r="L24" i="80"/>
  <c r="L33" i="80"/>
  <c r="L39" i="80"/>
  <c r="L46" i="80"/>
  <c r="L48" i="80"/>
  <c r="L6" i="80"/>
  <c r="L8" i="80"/>
  <c r="L10" i="80"/>
  <c r="L23" i="80"/>
  <c r="L25" i="80"/>
  <c r="L34" i="80"/>
  <c r="L36" i="80"/>
  <c r="I24" i="80"/>
  <c r="I50" i="80"/>
  <c r="F7" i="80"/>
  <c r="F9" i="80"/>
  <c r="F11" i="80"/>
  <c r="F24" i="80"/>
  <c r="F31" i="80"/>
  <c r="F33" i="80"/>
  <c r="F37" i="80"/>
  <c r="F48" i="80"/>
  <c r="F6" i="80"/>
  <c r="I49" i="80"/>
  <c r="F10" i="80"/>
  <c r="F36" i="80"/>
  <c r="F39" i="80"/>
  <c r="F49" i="80"/>
  <c r="F22" i="80"/>
  <c r="F32" i="80"/>
  <c r="F35" i="80"/>
  <c r="F40" i="80"/>
  <c r="F50" i="80"/>
  <c r="F8" i="80"/>
  <c r="F14" i="80"/>
  <c r="L13" i="77"/>
  <c r="L24" i="77"/>
  <c r="L33" i="77"/>
  <c r="L35" i="77"/>
  <c r="L48" i="77"/>
  <c r="K57" i="77"/>
  <c r="L8" i="77"/>
  <c r="L12" i="77"/>
  <c r="L25" i="77"/>
  <c r="L36" i="77"/>
  <c r="L38" i="77"/>
  <c r="I6" i="77"/>
  <c r="I10" i="77"/>
  <c r="I23" i="77"/>
  <c r="I25" i="77"/>
  <c r="I32" i="77"/>
  <c r="I34" i="77"/>
  <c r="I40" i="77"/>
  <c r="I12" i="77"/>
  <c r="H65" i="77"/>
  <c r="I33" i="77"/>
  <c r="I35" i="77"/>
  <c r="I46" i="77"/>
  <c r="I50" i="77"/>
  <c r="F13" i="77"/>
  <c r="E65" i="77"/>
  <c r="L65" i="77" s="1"/>
  <c r="F9" i="77"/>
  <c r="F15" i="77"/>
  <c r="F22" i="77"/>
  <c r="F24" i="77"/>
  <c r="E57" i="77"/>
  <c r="F25" i="77"/>
  <c r="F12" i="77"/>
  <c r="F36" i="77"/>
  <c r="F6" i="77"/>
  <c r="F8" i="77"/>
  <c r="F10" i="77"/>
  <c r="F14" i="77"/>
  <c r="F23" i="77"/>
  <c r="F34" i="77"/>
  <c r="F38" i="77"/>
  <c r="F49" i="77"/>
  <c r="I14" i="77"/>
  <c r="I37" i="77"/>
  <c r="I39" i="77"/>
  <c r="I49" i="77"/>
  <c r="I36" i="77"/>
  <c r="I38" i="77"/>
  <c r="I48" i="77"/>
  <c r="H56" i="77"/>
  <c r="H57" i="77"/>
  <c r="I11" i="77"/>
  <c r="I9" i="77"/>
  <c r="F39" i="77"/>
  <c r="P26" i="77"/>
  <c r="L7" i="76"/>
  <c r="L11" i="76"/>
  <c r="L13" i="76"/>
  <c r="L15" i="76"/>
  <c r="L22" i="76"/>
  <c r="L31" i="76"/>
  <c r="L33" i="76"/>
  <c r="L37" i="76"/>
  <c r="L46" i="76"/>
  <c r="L48" i="76"/>
  <c r="K57" i="76"/>
  <c r="L8" i="76"/>
  <c r="L10" i="76"/>
  <c r="L12" i="76"/>
  <c r="L14" i="76"/>
  <c r="L34" i="76"/>
  <c r="L38" i="76"/>
  <c r="L49" i="76"/>
  <c r="I31" i="76"/>
  <c r="I8" i="76"/>
  <c r="I32" i="76"/>
  <c r="I22" i="76"/>
  <c r="I24" i="76"/>
  <c r="F8" i="76"/>
  <c r="F10" i="76"/>
  <c r="F12" i="76"/>
  <c r="F14" i="76"/>
  <c r="F34" i="76"/>
  <c r="I11" i="76"/>
  <c r="I10" i="76"/>
  <c r="I7" i="76"/>
  <c r="I13" i="76"/>
  <c r="I9" i="76"/>
  <c r="F37" i="76"/>
  <c r="L11" i="79"/>
  <c r="L13" i="79"/>
  <c r="L15" i="79"/>
  <c r="L24" i="79"/>
  <c r="I6" i="79"/>
  <c r="I7" i="79"/>
  <c r="I9" i="79"/>
  <c r="I11" i="79"/>
  <c r="I13" i="79"/>
  <c r="I15" i="79"/>
  <c r="H65" i="79"/>
  <c r="L65" i="79" s="1"/>
  <c r="F7" i="79"/>
  <c r="F15" i="79"/>
  <c r="F33" i="79"/>
  <c r="F35" i="79"/>
  <c r="F37" i="79"/>
  <c r="F39" i="79"/>
  <c r="F48" i="79"/>
  <c r="F50" i="79"/>
  <c r="F8" i="79"/>
  <c r="F10" i="79"/>
  <c r="F12" i="79"/>
  <c r="F14" i="79"/>
  <c r="F23" i="79"/>
  <c r="F25" i="79"/>
  <c r="F32" i="79"/>
  <c r="F34" i="79"/>
  <c r="F36" i="79"/>
  <c r="F38" i="79"/>
  <c r="F40" i="79"/>
  <c r="F47" i="79"/>
  <c r="F49" i="79"/>
  <c r="I10" i="79"/>
  <c r="I8" i="79"/>
  <c r="I12" i="79"/>
  <c r="G41" i="79"/>
  <c r="F9" i="79"/>
  <c r="F11" i="79"/>
  <c r="F31" i="79"/>
  <c r="F13" i="79"/>
  <c r="D26" i="79"/>
  <c r="P26" i="79"/>
  <c r="L58" i="79" s="1"/>
  <c r="D41" i="79"/>
  <c r="F22" i="79"/>
  <c r="L7" i="78"/>
  <c r="L11" i="78"/>
  <c r="L24" i="78"/>
  <c r="L31" i="78"/>
  <c r="L33" i="78"/>
  <c r="L35" i="78"/>
  <c r="L37" i="78"/>
  <c r="L39" i="78"/>
  <c r="K57" i="78"/>
  <c r="I12" i="78"/>
  <c r="I21" i="78"/>
  <c r="I7" i="78"/>
  <c r="I11" i="78"/>
  <c r="I13" i="78"/>
  <c r="I24" i="78"/>
  <c r="F8" i="78"/>
  <c r="F23" i="78"/>
  <c r="F7" i="78"/>
  <c r="F9" i="78"/>
  <c r="F13" i="78"/>
  <c r="F15" i="78"/>
  <c r="F22" i="78"/>
  <c r="F24" i="78"/>
  <c r="F35" i="78"/>
  <c r="F12" i="78"/>
  <c r="P26" i="78"/>
  <c r="L58" i="78" s="1"/>
  <c r="F6" i="78"/>
  <c r="I23" i="78"/>
  <c r="I10" i="78"/>
  <c r="I9" i="78"/>
  <c r="I14" i="78"/>
  <c r="I22" i="78"/>
  <c r="G16" i="78"/>
  <c r="I8" i="78"/>
  <c r="F39" i="78"/>
  <c r="L11" i="75"/>
  <c r="L15" i="75"/>
  <c r="I37" i="75"/>
  <c r="I40" i="75"/>
  <c r="I49" i="75"/>
  <c r="I14" i="75"/>
  <c r="I25" i="75"/>
  <c r="I47" i="75"/>
  <c r="H56" i="75"/>
  <c r="I7" i="75"/>
  <c r="I39" i="75"/>
  <c r="I46" i="75"/>
  <c r="F7" i="75"/>
  <c r="F9" i="75"/>
  <c r="F11" i="75"/>
  <c r="F13" i="75"/>
  <c r="F15" i="75"/>
  <c r="F22" i="75"/>
  <c r="F33" i="75"/>
  <c r="F39" i="75"/>
  <c r="F10" i="75"/>
  <c r="F23" i="75"/>
  <c r="F25" i="75"/>
  <c r="F32" i="75"/>
  <c r="F47" i="75"/>
  <c r="F49" i="75"/>
  <c r="L7" i="75"/>
  <c r="I36" i="75"/>
  <c r="E56" i="75"/>
  <c r="K26" i="74"/>
  <c r="L8" i="74"/>
  <c r="L10" i="74"/>
  <c r="L14" i="74"/>
  <c r="L32" i="74"/>
  <c r="L38" i="74"/>
  <c r="L40" i="74"/>
  <c r="H65" i="74"/>
  <c r="I8" i="74"/>
  <c r="I10" i="74"/>
  <c r="I14" i="74"/>
  <c r="I23" i="74"/>
  <c r="I25" i="74"/>
  <c r="I7" i="74"/>
  <c r="F9" i="74"/>
  <c r="F22" i="74"/>
  <c r="F31" i="74"/>
  <c r="F35" i="74"/>
  <c r="F39" i="74"/>
  <c r="E65" i="74"/>
  <c r="F6" i="74"/>
  <c r="F8" i="74"/>
  <c r="F10" i="74"/>
  <c r="F25" i="74"/>
  <c r="F34" i="74"/>
  <c r="F38" i="74"/>
  <c r="F47" i="74"/>
  <c r="H56" i="74"/>
  <c r="I6" i="74"/>
  <c r="F23" i="74"/>
  <c r="F33" i="74"/>
  <c r="F36" i="74"/>
  <c r="F7" i="74"/>
  <c r="L7" i="73"/>
  <c r="L11" i="73"/>
  <c r="L13" i="73"/>
  <c r="L15" i="73"/>
  <c r="L22" i="73"/>
  <c r="L33" i="73"/>
  <c r="L39" i="73"/>
  <c r="K57" i="73"/>
  <c r="I32" i="73"/>
  <c r="I36" i="73"/>
  <c r="I40" i="73"/>
  <c r="I7" i="73"/>
  <c r="I15" i="73"/>
  <c r="E57" i="73"/>
  <c r="F9" i="73"/>
  <c r="F11" i="73"/>
  <c r="F13" i="73"/>
  <c r="F15" i="73"/>
  <c r="F22" i="73"/>
  <c r="F24" i="73"/>
  <c r="F48" i="73"/>
  <c r="I6" i="73"/>
  <c r="I39" i="73"/>
  <c r="F32" i="73"/>
  <c r="F34" i="73"/>
  <c r="F36" i="73"/>
  <c r="F38" i="73"/>
  <c r="F40" i="73"/>
  <c r="E56" i="73"/>
  <c r="F7" i="73"/>
  <c r="F10" i="73"/>
  <c r="D26" i="73"/>
  <c r="F50" i="73"/>
  <c r="F14" i="73"/>
  <c r="L65" i="73"/>
  <c r="K56" i="66"/>
  <c r="L7" i="66"/>
  <c r="L13" i="66"/>
  <c r="L15" i="66"/>
  <c r="L33" i="66"/>
  <c r="L48" i="66"/>
  <c r="K57" i="66"/>
  <c r="L8" i="66"/>
  <c r="L10" i="66"/>
  <c r="L12" i="66"/>
  <c r="L32" i="66"/>
  <c r="L47" i="66"/>
  <c r="L49" i="66"/>
  <c r="I49" i="66"/>
  <c r="H65" i="66"/>
  <c r="I6" i="66"/>
  <c r="I8" i="66"/>
  <c r="I10" i="66"/>
  <c r="I12" i="66"/>
  <c r="I14" i="66"/>
  <c r="I25" i="66"/>
  <c r="H57" i="66"/>
  <c r="I35" i="66"/>
  <c r="I37" i="66"/>
  <c r="I39" i="66"/>
  <c r="I7" i="66"/>
  <c r="I11" i="66"/>
  <c r="I13" i="66"/>
  <c r="I15" i="66"/>
  <c r="I22" i="66"/>
  <c r="I33" i="66"/>
  <c r="F7" i="66"/>
  <c r="F9" i="66"/>
  <c r="F11" i="66"/>
  <c r="F13" i="66"/>
  <c r="F15" i="66"/>
  <c r="F22" i="66"/>
  <c r="F24" i="66"/>
  <c r="F31" i="66"/>
  <c r="F35" i="66"/>
  <c r="F48" i="66"/>
  <c r="F50" i="66"/>
  <c r="E57" i="66"/>
  <c r="E65" i="66"/>
  <c r="F6" i="66"/>
  <c r="F8" i="66"/>
  <c r="F10" i="66"/>
  <c r="F12" i="66"/>
  <c r="F14" i="66"/>
  <c r="F34" i="66"/>
  <c r="J16" i="66"/>
  <c r="H56" i="66"/>
  <c r="F49" i="66"/>
  <c r="P26" i="66"/>
  <c r="L58" i="66" s="1"/>
  <c r="L7" i="68"/>
  <c r="L11" i="68"/>
  <c r="L13" i="68"/>
  <c r="L15" i="68"/>
  <c r="L33" i="68"/>
  <c r="L35" i="68"/>
  <c r="L37" i="68"/>
  <c r="L39" i="68"/>
  <c r="K57" i="68"/>
  <c r="I8" i="68"/>
  <c r="I10" i="68"/>
  <c r="I12" i="68"/>
  <c r="I14" i="68"/>
  <c r="I25" i="68"/>
  <c r="I34" i="68"/>
  <c r="I38" i="68"/>
  <c r="I47" i="68"/>
  <c r="I49" i="68"/>
  <c r="H56" i="68"/>
  <c r="I36" i="68"/>
  <c r="I23" i="68"/>
  <c r="I50" i="68"/>
  <c r="I11" i="68"/>
  <c r="I13" i="68"/>
  <c r="I15" i="68"/>
  <c r="I33" i="68"/>
  <c r="I37" i="68"/>
  <c r="I39" i="68"/>
  <c r="I48" i="68"/>
  <c r="F6" i="68"/>
  <c r="F40" i="68"/>
  <c r="F9" i="68"/>
  <c r="F11" i="68"/>
  <c r="F15" i="68"/>
  <c r="F22" i="68"/>
  <c r="F48" i="68"/>
  <c r="I24" i="68"/>
  <c r="I6" i="68"/>
  <c r="E57" i="68"/>
  <c r="P26" i="68"/>
  <c r="L58" i="68" s="1"/>
  <c r="L11" i="72"/>
  <c r="L13" i="72"/>
  <c r="L15" i="72"/>
  <c r="L35" i="72"/>
  <c r="L37" i="72"/>
  <c r="L48" i="72"/>
  <c r="K57" i="72"/>
  <c r="H16" i="72"/>
  <c r="I8" i="72"/>
  <c r="I10" i="72"/>
  <c r="I14" i="72"/>
  <c r="I23" i="72"/>
  <c r="I34" i="72"/>
  <c r="I36" i="72"/>
  <c r="I49" i="72"/>
  <c r="I11" i="72"/>
  <c r="I13" i="72"/>
  <c r="I24" i="72"/>
  <c r="I35" i="72"/>
  <c r="I37" i="72"/>
  <c r="I50" i="72"/>
  <c r="E65" i="72"/>
  <c r="F11" i="72"/>
  <c r="F13" i="72"/>
  <c r="F15" i="72"/>
  <c r="F22" i="72"/>
  <c r="F24" i="72"/>
  <c r="F31" i="72"/>
  <c r="F33" i="72"/>
  <c r="F35" i="72"/>
  <c r="F37" i="72"/>
  <c r="F39" i="72"/>
  <c r="F46" i="72"/>
  <c r="F48" i="72"/>
  <c r="F50" i="72"/>
  <c r="F38" i="72"/>
  <c r="F49" i="72"/>
  <c r="E56" i="72"/>
  <c r="F12" i="72"/>
  <c r="L7" i="72"/>
  <c r="I21" i="72"/>
  <c r="I33" i="72"/>
  <c r="I38" i="72"/>
  <c r="I40" i="72"/>
  <c r="I48" i="72"/>
  <c r="I22" i="72"/>
  <c r="I25" i="72"/>
  <c r="I31" i="72"/>
  <c r="I32" i="72"/>
  <c r="I39" i="72"/>
  <c r="I47" i="72"/>
  <c r="H56" i="72"/>
  <c r="I9" i="72"/>
  <c r="I15" i="72"/>
  <c r="H65" i="72"/>
  <c r="L65" i="72" s="1"/>
  <c r="F47" i="72"/>
  <c r="E57" i="72"/>
  <c r="F9" i="72"/>
  <c r="P26" i="72"/>
  <c r="L58" i="72" s="1"/>
  <c r="F23" i="72"/>
  <c r="F32" i="72"/>
  <c r="F36" i="72"/>
  <c r="F10" i="72"/>
  <c r="F14" i="72"/>
  <c r="F8" i="72"/>
  <c r="L10" i="71"/>
  <c r="L14" i="71"/>
  <c r="L23" i="71"/>
  <c r="L36" i="71"/>
  <c r="L38" i="71"/>
  <c r="I8" i="71"/>
  <c r="I10" i="71"/>
  <c r="I12" i="71"/>
  <c r="I23" i="71"/>
  <c r="E57" i="71"/>
  <c r="E65" i="71"/>
  <c r="L65" i="71" s="1"/>
  <c r="F8" i="71"/>
  <c r="F10" i="71"/>
  <c r="F14" i="71"/>
  <c r="K56" i="71"/>
  <c r="L6" i="71"/>
  <c r="L12" i="71"/>
  <c r="L7" i="71"/>
  <c r="L24" i="71"/>
  <c r="I24" i="71"/>
  <c r="I7" i="71"/>
  <c r="I14" i="71"/>
  <c r="F33" i="71"/>
  <c r="F23" i="71"/>
  <c r="F25" i="71"/>
  <c r="F31" i="71"/>
  <c r="F32" i="71"/>
  <c r="F34" i="71"/>
  <c r="F38" i="71"/>
  <c r="F12" i="71"/>
  <c r="F22" i="71"/>
  <c r="F50" i="71"/>
  <c r="F7" i="71"/>
  <c r="L14" i="70"/>
  <c r="L23" i="70"/>
  <c r="L32" i="70"/>
  <c r="L36" i="70"/>
  <c r="L7" i="70"/>
  <c r="L11" i="70"/>
  <c r="L13" i="70"/>
  <c r="L15" i="70"/>
  <c r="L31" i="70"/>
  <c r="L33" i="70"/>
  <c r="L35" i="70"/>
  <c r="L39" i="70"/>
  <c r="L48" i="70"/>
  <c r="L50" i="70"/>
  <c r="H41" i="70"/>
  <c r="I11" i="70"/>
  <c r="I13" i="70"/>
  <c r="I22" i="70"/>
  <c r="I24" i="70"/>
  <c r="H65" i="70"/>
  <c r="I8" i="70"/>
  <c r="I10" i="70"/>
  <c r="I14" i="70"/>
  <c r="I21" i="70"/>
  <c r="I47" i="70"/>
  <c r="F24" i="70"/>
  <c r="E65" i="70"/>
  <c r="F6" i="70"/>
  <c r="F8" i="70"/>
  <c r="F23" i="70"/>
  <c r="F32" i="70"/>
  <c r="F34" i="70"/>
  <c r="F36" i="70"/>
  <c r="F38" i="70"/>
  <c r="F40" i="70"/>
  <c r="F49" i="70"/>
  <c r="F46" i="70"/>
  <c r="F48" i="70"/>
  <c r="E57" i="70"/>
  <c r="L22" i="70"/>
  <c r="J41" i="70"/>
  <c r="G26" i="70"/>
  <c r="H56" i="70"/>
  <c r="F37" i="70"/>
  <c r="F9" i="70"/>
  <c r="F15" i="70"/>
  <c r="F25" i="70"/>
  <c r="F33" i="70"/>
  <c r="F7" i="70"/>
  <c r="F10" i="70"/>
  <c r="F35" i="70"/>
  <c r="F39" i="70"/>
  <c r="F47" i="70"/>
  <c r="F50" i="70"/>
  <c r="E56" i="70"/>
  <c r="F11" i="70"/>
  <c r="F13" i="70"/>
  <c r="L7" i="69"/>
  <c r="K41" i="69"/>
  <c r="L8" i="69"/>
  <c r="L10" i="69"/>
  <c r="L12" i="69"/>
  <c r="L14" i="69"/>
  <c r="L21" i="69"/>
  <c r="L23" i="69"/>
  <c r="L25" i="69"/>
  <c r="L34" i="69"/>
  <c r="I7" i="69"/>
  <c r="I11" i="69"/>
  <c r="I33" i="69"/>
  <c r="I39" i="69"/>
  <c r="I50" i="69"/>
  <c r="H57" i="69"/>
  <c r="I49" i="69"/>
  <c r="I6" i="69"/>
  <c r="I8" i="69"/>
  <c r="I10" i="69"/>
  <c r="I12" i="69"/>
  <c r="I14" i="69"/>
  <c r="I23" i="69"/>
  <c r="I25" i="69"/>
  <c r="I32" i="69"/>
  <c r="I34" i="69"/>
  <c r="I38" i="69"/>
  <c r="I40" i="69"/>
  <c r="I37" i="69"/>
  <c r="I46" i="69"/>
  <c r="I47" i="69"/>
  <c r="F8" i="69"/>
  <c r="F10" i="69"/>
  <c r="F14" i="69"/>
  <c r="F23" i="69"/>
  <c r="F32" i="69"/>
  <c r="F36" i="69"/>
  <c r="F40" i="69"/>
  <c r="F24" i="69"/>
  <c r="F38" i="69"/>
  <c r="F9" i="69"/>
  <c r="F11" i="69"/>
  <c r="F13" i="69"/>
  <c r="F15" i="69"/>
  <c r="F22" i="69"/>
  <c r="F48" i="69"/>
  <c r="K56" i="69"/>
  <c r="J26" i="69"/>
  <c r="I36" i="69"/>
  <c r="I48" i="69"/>
  <c r="I9" i="69"/>
  <c r="F7" i="69"/>
  <c r="E57" i="69"/>
  <c r="F6" i="69"/>
  <c r="L6" i="67"/>
  <c r="L12" i="67"/>
  <c r="L32" i="67"/>
  <c r="K56" i="67"/>
  <c r="L13" i="67"/>
  <c r="L15" i="67"/>
  <c r="L22" i="67"/>
  <c r="L33" i="67"/>
  <c r="L35" i="67"/>
  <c r="L37" i="67"/>
  <c r="L39" i="67"/>
  <c r="L48" i="67"/>
  <c r="L50" i="67"/>
  <c r="K16" i="67"/>
  <c r="I25" i="67"/>
  <c r="H65" i="67"/>
  <c r="I7" i="67"/>
  <c r="I11" i="67"/>
  <c r="I35" i="67"/>
  <c r="I12" i="67"/>
  <c r="J16" i="67"/>
  <c r="L11" i="67"/>
  <c r="I22" i="67"/>
  <c r="I9" i="67"/>
  <c r="I8" i="67"/>
  <c r="I10" i="67"/>
  <c r="I14" i="67"/>
  <c r="D16" i="67"/>
  <c r="F32" i="67"/>
  <c r="F39" i="67"/>
  <c r="F8" i="67"/>
  <c r="F34" i="67"/>
  <c r="F14" i="67"/>
  <c r="F31" i="67"/>
  <c r="F15" i="67"/>
  <c r="F24" i="67"/>
  <c r="F33" i="67"/>
  <c r="F10" i="67"/>
  <c r="F12" i="67"/>
  <c r="F25" i="67"/>
  <c r="F36" i="67"/>
  <c r="F23" i="67"/>
  <c r="F11" i="67"/>
  <c r="F22" i="67"/>
  <c r="F37" i="67"/>
  <c r="E57" i="67"/>
  <c r="F7" i="67"/>
  <c r="F9" i="67"/>
  <c r="F13" i="67"/>
  <c r="L8" i="65"/>
  <c r="L10" i="65"/>
  <c r="L32" i="65"/>
  <c r="L34" i="65"/>
  <c r="L36" i="65"/>
  <c r="L38" i="65"/>
  <c r="L40" i="65"/>
  <c r="L7" i="65"/>
  <c r="I37" i="65"/>
  <c r="I23" i="65"/>
  <c r="I34" i="65"/>
  <c r="I10" i="65"/>
  <c r="I25" i="65"/>
  <c r="I47" i="65"/>
  <c r="I35" i="65"/>
  <c r="H56" i="65"/>
  <c r="I7" i="65"/>
  <c r="I15" i="65"/>
  <c r="I48" i="65"/>
  <c r="I50" i="65"/>
  <c r="H57" i="65"/>
  <c r="I33" i="65"/>
  <c r="I38" i="65"/>
  <c r="I8" i="65"/>
  <c r="I49" i="65"/>
  <c r="F8" i="65"/>
  <c r="F10" i="65"/>
  <c r="F12" i="65"/>
  <c r="F14" i="65"/>
  <c r="F23" i="65"/>
  <c r="F34" i="65"/>
  <c r="F38" i="65"/>
  <c r="F7" i="65"/>
  <c r="F9" i="65"/>
  <c r="F13" i="65"/>
  <c r="F22" i="65"/>
  <c r="F48" i="65"/>
  <c r="F50" i="65"/>
  <c r="J16" i="65"/>
  <c r="K56" i="65"/>
  <c r="I6" i="65"/>
  <c r="F6" i="65"/>
  <c r="F24" i="65"/>
  <c r="F32" i="65"/>
  <c r="F40" i="65"/>
  <c r="F25" i="65"/>
  <c r="F36" i="65"/>
  <c r="F31" i="65"/>
  <c r="P26" i="65"/>
  <c r="L58" i="65" s="1"/>
  <c r="L6" i="64"/>
  <c r="L8" i="64"/>
  <c r="L10" i="64"/>
  <c r="L12" i="64"/>
  <c r="L14" i="64"/>
  <c r="L25" i="64"/>
  <c r="L40" i="64"/>
  <c r="L7" i="64"/>
  <c r="L33" i="64"/>
  <c r="L35" i="64"/>
  <c r="L48" i="64"/>
  <c r="I10" i="64"/>
  <c r="I7" i="64"/>
  <c r="I24" i="64"/>
  <c r="I31" i="64"/>
  <c r="I33" i="64"/>
  <c r="I35" i="64"/>
  <c r="H16" i="64"/>
  <c r="I14" i="64"/>
  <c r="I23" i="64"/>
  <c r="I25" i="64"/>
  <c r="I32" i="64"/>
  <c r="I36" i="64"/>
  <c r="F8" i="64"/>
  <c r="F10" i="64"/>
  <c r="F12" i="64"/>
  <c r="E65" i="64"/>
  <c r="F7" i="64"/>
  <c r="G41" i="64"/>
  <c r="I34" i="64"/>
  <c r="I37" i="64"/>
  <c r="I40" i="64"/>
  <c r="I11" i="64"/>
  <c r="I22" i="64"/>
  <c r="I39" i="64"/>
  <c r="I48" i="64"/>
  <c r="I50" i="64"/>
  <c r="H56" i="64"/>
  <c r="I13" i="64"/>
  <c r="I9" i="64"/>
  <c r="I38" i="64"/>
  <c r="F21" i="64"/>
  <c r="F24" i="64"/>
  <c r="F32" i="64"/>
  <c r="F36" i="64"/>
  <c r="F40" i="64"/>
  <c r="F47" i="64"/>
  <c r="F50" i="64"/>
  <c r="L8" i="63"/>
  <c r="L10" i="63"/>
  <c r="L12" i="63"/>
  <c r="L14" i="63"/>
  <c r="L21" i="63"/>
  <c r="L23" i="63"/>
  <c r="L25" i="63"/>
  <c r="L32" i="63"/>
  <c r="L47" i="63"/>
  <c r="L49" i="63"/>
  <c r="L24" i="63"/>
  <c r="L35" i="63"/>
  <c r="L37" i="63"/>
  <c r="I24" i="63"/>
  <c r="I7" i="63"/>
  <c r="I22" i="63"/>
  <c r="I25" i="63"/>
  <c r="H57" i="63"/>
  <c r="I8" i="63"/>
  <c r="I12" i="63"/>
  <c r="F8" i="63"/>
  <c r="F34" i="63"/>
  <c r="F38" i="63"/>
  <c r="F40" i="63"/>
  <c r="F7" i="63"/>
  <c r="F11" i="63"/>
  <c r="F13" i="63"/>
  <c r="F15" i="63"/>
  <c r="F22" i="63"/>
  <c r="F24" i="63"/>
  <c r="J26" i="63"/>
  <c r="I23" i="63"/>
  <c r="I33" i="63"/>
  <c r="I35" i="63"/>
  <c r="I39" i="63"/>
  <c r="I36" i="63"/>
  <c r="I49" i="63"/>
  <c r="F49" i="63"/>
  <c r="P26" i="63"/>
  <c r="L58" i="63" s="1"/>
  <c r="F6" i="63"/>
  <c r="L65" i="65"/>
  <c r="L65" i="69"/>
  <c r="L65" i="63"/>
  <c r="L65" i="81"/>
  <c r="H16" i="88"/>
  <c r="F7" i="86"/>
  <c r="I6" i="83"/>
  <c r="J16" i="83"/>
  <c r="D16" i="82"/>
  <c r="I7" i="82"/>
  <c r="F15" i="87"/>
  <c r="P26" i="87"/>
  <c r="I22" i="87"/>
  <c r="L22" i="87"/>
  <c r="F35" i="87"/>
  <c r="L38" i="87"/>
  <c r="E57" i="87"/>
  <c r="D16" i="87"/>
  <c r="H16" i="87"/>
  <c r="L6" i="87"/>
  <c r="F33" i="87"/>
  <c r="F49" i="87"/>
  <c r="L14" i="87"/>
  <c r="F22" i="87"/>
  <c r="F24" i="87"/>
  <c r="D26" i="87"/>
  <c r="L34" i="87"/>
  <c r="F39" i="87"/>
  <c r="G51" i="87"/>
  <c r="I46" i="87"/>
  <c r="L50" i="87"/>
  <c r="E56" i="87"/>
  <c r="F50" i="87"/>
  <c r="F48" i="87"/>
  <c r="F46" i="87"/>
  <c r="F40" i="87"/>
  <c r="F38" i="87"/>
  <c r="F36" i="87"/>
  <c r="F34" i="87"/>
  <c r="F32" i="87"/>
  <c r="F21" i="87"/>
  <c r="J26" i="87"/>
  <c r="L21" i="87"/>
  <c r="F23" i="87"/>
  <c r="F25" i="87"/>
  <c r="G26" i="87"/>
  <c r="L32" i="87"/>
  <c r="F37" i="87"/>
  <c r="L40" i="87"/>
  <c r="L48" i="87"/>
  <c r="H57" i="87"/>
  <c r="F21" i="88"/>
  <c r="F22" i="88"/>
  <c r="D26" i="88"/>
  <c r="I48" i="88"/>
  <c r="I49" i="88"/>
  <c r="F50" i="88"/>
  <c r="E57" i="88"/>
  <c r="F31" i="87"/>
  <c r="L46" i="87"/>
  <c r="F47" i="87"/>
  <c r="K56" i="87"/>
  <c r="F6" i="88"/>
  <c r="G26" i="88"/>
  <c r="I21" i="88"/>
  <c r="L21" i="88"/>
  <c r="P26" i="88"/>
  <c r="L46" i="88"/>
  <c r="K51" i="88"/>
  <c r="F49" i="88"/>
  <c r="F14" i="88"/>
  <c r="I31" i="88"/>
  <c r="F32" i="88"/>
  <c r="F34" i="88"/>
  <c r="F36" i="88"/>
  <c r="F38" i="88"/>
  <c r="F40" i="88"/>
  <c r="I47" i="88"/>
  <c r="F48" i="88"/>
  <c r="I50" i="88"/>
  <c r="F7" i="88"/>
  <c r="F9" i="88"/>
  <c r="L13" i="88"/>
  <c r="I23" i="88"/>
  <c r="I25" i="88"/>
  <c r="F31" i="88"/>
  <c r="F33" i="88"/>
  <c r="L33" i="88"/>
  <c r="F35" i="88"/>
  <c r="L35" i="88"/>
  <c r="F37" i="88"/>
  <c r="L37" i="88"/>
  <c r="F39" i="88"/>
  <c r="L39" i="88"/>
  <c r="I46" i="88"/>
  <c r="F47" i="88"/>
  <c r="H56" i="88"/>
  <c r="L31" i="88"/>
  <c r="F46" i="88"/>
  <c r="L47" i="88"/>
  <c r="E56" i="88"/>
  <c r="F6" i="84"/>
  <c r="K16" i="84"/>
  <c r="I7" i="84"/>
  <c r="I9" i="84"/>
  <c r="D16" i="84"/>
  <c r="I6" i="84"/>
  <c r="F7" i="84"/>
  <c r="J16" i="84"/>
  <c r="L6" i="84"/>
  <c r="L21" i="84"/>
  <c r="J26" i="84"/>
  <c r="P26" i="84"/>
  <c r="L58" i="84" s="1"/>
  <c r="I32" i="84"/>
  <c r="I34" i="84"/>
  <c r="I36" i="84"/>
  <c r="I38" i="84"/>
  <c r="I40" i="84"/>
  <c r="G41" i="84"/>
  <c r="I46" i="84"/>
  <c r="I48" i="84"/>
  <c r="I50" i="84"/>
  <c r="G51" i="84"/>
  <c r="F21" i="85"/>
  <c r="F23" i="85"/>
  <c r="I31" i="85"/>
  <c r="F32" i="85"/>
  <c r="I34" i="85"/>
  <c r="I35" i="85"/>
  <c r="F36" i="85"/>
  <c r="I38" i="85"/>
  <c r="I39" i="85"/>
  <c r="F40" i="85"/>
  <c r="F47" i="85"/>
  <c r="H56" i="85"/>
  <c r="I21" i="84"/>
  <c r="L31" i="84"/>
  <c r="D41" i="84"/>
  <c r="F46" i="84"/>
  <c r="L6" i="85"/>
  <c r="G16" i="85"/>
  <c r="P26" i="85"/>
  <c r="L58" i="85" s="1"/>
  <c r="G26" i="85"/>
  <c r="I21" i="85"/>
  <c r="F22" i="85"/>
  <c r="I22" i="85"/>
  <c r="I23" i="85"/>
  <c r="F24" i="85"/>
  <c r="I25" i="85"/>
  <c r="D26" i="85"/>
  <c r="F31" i="85"/>
  <c r="J41" i="85"/>
  <c r="L31" i="85"/>
  <c r="F35" i="85"/>
  <c r="F39" i="85"/>
  <c r="I48" i="85"/>
  <c r="I49" i="85"/>
  <c r="F50" i="85"/>
  <c r="E57" i="85"/>
  <c r="F6" i="86"/>
  <c r="E16" i="86"/>
  <c r="L7" i="86"/>
  <c r="K16" i="86"/>
  <c r="F21" i="84"/>
  <c r="E16" i="85"/>
  <c r="G41" i="85"/>
  <c r="K41" i="85"/>
  <c r="I32" i="85"/>
  <c r="I33" i="85"/>
  <c r="F34" i="85"/>
  <c r="I36" i="85"/>
  <c r="I37" i="85"/>
  <c r="F38" i="85"/>
  <c r="I40" i="85"/>
  <c r="L46" i="85"/>
  <c r="K51" i="85"/>
  <c r="F49" i="85"/>
  <c r="G16" i="86"/>
  <c r="I7" i="86"/>
  <c r="F33" i="84"/>
  <c r="F37" i="84"/>
  <c r="L46" i="84"/>
  <c r="F6" i="85"/>
  <c r="I13" i="85"/>
  <c r="F14" i="85"/>
  <c r="I15" i="85"/>
  <c r="J26" i="85"/>
  <c r="L21" i="85"/>
  <c r="L23" i="85"/>
  <c r="L25" i="85"/>
  <c r="D41" i="85"/>
  <c r="F33" i="85"/>
  <c r="F37" i="85"/>
  <c r="G51" i="85"/>
  <c r="I46" i="85"/>
  <c r="I47" i="85"/>
  <c r="F48" i="85"/>
  <c r="I50" i="85"/>
  <c r="E51" i="85"/>
  <c r="H16" i="86"/>
  <c r="I21" i="86"/>
  <c r="K26" i="86"/>
  <c r="L31" i="86"/>
  <c r="F46" i="86"/>
  <c r="F50" i="86"/>
  <c r="F46" i="85"/>
  <c r="L47" i="85"/>
  <c r="E56" i="85"/>
  <c r="L6" i="86"/>
  <c r="F21" i="86"/>
  <c r="L22" i="86"/>
  <c r="I31" i="86"/>
  <c r="I22" i="86"/>
  <c r="I24" i="86"/>
  <c r="E26" i="86"/>
  <c r="L46" i="86"/>
  <c r="P26" i="86"/>
  <c r="I40" i="86"/>
  <c r="I46" i="86"/>
  <c r="I7" i="80"/>
  <c r="G16" i="76"/>
  <c r="L6" i="76"/>
  <c r="L7" i="79"/>
  <c r="J16" i="78"/>
  <c r="H16" i="80"/>
  <c r="L21" i="80"/>
  <c r="P26" i="80"/>
  <c r="L58" i="80" s="1"/>
  <c r="I46" i="80"/>
  <c r="K51" i="80"/>
  <c r="H56" i="80"/>
  <c r="E57" i="80"/>
  <c r="E65" i="80"/>
  <c r="L65" i="80" s="1"/>
  <c r="G16" i="81"/>
  <c r="I6" i="81"/>
  <c r="I21" i="80"/>
  <c r="L31" i="80"/>
  <c r="F46" i="80"/>
  <c r="E56" i="80"/>
  <c r="K56" i="80"/>
  <c r="F21" i="80"/>
  <c r="F23" i="80"/>
  <c r="I31" i="80"/>
  <c r="I33" i="80"/>
  <c r="I35" i="80"/>
  <c r="I37" i="80"/>
  <c r="I39" i="80"/>
  <c r="E41" i="80"/>
  <c r="I47" i="80"/>
  <c r="F6" i="81"/>
  <c r="K16" i="81"/>
  <c r="L6" i="81"/>
  <c r="I23" i="81"/>
  <c r="I25" i="81"/>
  <c r="L31" i="81"/>
  <c r="F32" i="81"/>
  <c r="D41" i="81"/>
  <c r="H41" i="81"/>
  <c r="F46" i="81"/>
  <c r="E56" i="81"/>
  <c r="L6" i="82"/>
  <c r="F15" i="82"/>
  <c r="P26" i="82"/>
  <c r="L58" i="82" s="1"/>
  <c r="L22" i="82"/>
  <c r="J41" i="82"/>
  <c r="L34" i="82"/>
  <c r="F39" i="82"/>
  <c r="G51" i="82"/>
  <c r="I46" i="82"/>
  <c r="F47" i="82"/>
  <c r="L50" i="82"/>
  <c r="I33" i="81"/>
  <c r="I6" i="82"/>
  <c r="F37" i="82"/>
  <c r="L40" i="82"/>
  <c r="L48" i="82"/>
  <c r="F37" i="81"/>
  <c r="F39" i="81"/>
  <c r="L46" i="81"/>
  <c r="L14" i="82"/>
  <c r="F22" i="82"/>
  <c r="F24" i="82"/>
  <c r="D26" i="82"/>
  <c r="F35" i="82"/>
  <c r="L38" i="82"/>
  <c r="E65" i="82"/>
  <c r="P26" i="81"/>
  <c r="L58" i="81" s="1"/>
  <c r="I46" i="81"/>
  <c r="E56" i="82"/>
  <c r="F50" i="82"/>
  <c r="F48" i="82"/>
  <c r="F46" i="82"/>
  <c r="F40" i="82"/>
  <c r="F38" i="82"/>
  <c r="F36" i="82"/>
  <c r="F34" i="82"/>
  <c r="F21" i="82"/>
  <c r="J26" i="82"/>
  <c r="L21" i="82"/>
  <c r="F23" i="82"/>
  <c r="F25" i="82"/>
  <c r="G26" i="82"/>
  <c r="F31" i="82"/>
  <c r="D41" i="82"/>
  <c r="F33" i="82"/>
  <c r="L36" i="82"/>
  <c r="F49" i="82"/>
  <c r="E57" i="82"/>
  <c r="I7" i="83"/>
  <c r="I21" i="83"/>
  <c r="L31" i="83"/>
  <c r="F46" i="83"/>
  <c r="L47" i="83"/>
  <c r="E56" i="83"/>
  <c r="D51" i="82"/>
  <c r="I11" i="83"/>
  <c r="I13" i="83"/>
  <c r="I15" i="83"/>
  <c r="F21" i="83"/>
  <c r="F23" i="83"/>
  <c r="I31" i="83"/>
  <c r="I22" i="83"/>
  <c r="I24" i="83"/>
  <c r="L46" i="82"/>
  <c r="F6" i="83"/>
  <c r="L21" i="83"/>
  <c r="I46" i="83"/>
  <c r="I25" i="78"/>
  <c r="D26" i="78"/>
  <c r="F37" i="78"/>
  <c r="I48" i="78"/>
  <c r="I49" i="78"/>
  <c r="F50" i="78"/>
  <c r="E57" i="78"/>
  <c r="F6" i="79"/>
  <c r="E16" i="79"/>
  <c r="K16" i="79"/>
  <c r="L21" i="79"/>
  <c r="K26" i="79"/>
  <c r="I34" i="79"/>
  <c r="I39" i="79"/>
  <c r="I50" i="79"/>
  <c r="F21" i="78"/>
  <c r="J26" i="78"/>
  <c r="L21" i="78"/>
  <c r="L25" i="78"/>
  <c r="I31" i="78"/>
  <c r="I32" i="78"/>
  <c r="I34" i="78"/>
  <c r="I36" i="78"/>
  <c r="I38" i="78"/>
  <c r="I40" i="78"/>
  <c r="L46" i="78"/>
  <c r="K51" i="78"/>
  <c r="F49" i="78"/>
  <c r="L65" i="78"/>
  <c r="G26" i="79"/>
  <c r="I21" i="79"/>
  <c r="I22" i="79"/>
  <c r="I25" i="79"/>
  <c r="E26" i="79"/>
  <c r="J41" i="79"/>
  <c r="L31" i="79"/>
  <c r="I33" i="79"/>
  <c r="I37" i="79"/>
  <c r="I40" i="79"/>
  <c r="I47" i="79"/>
  <c r="H16" i="78"/>
  <c r="L6" i="78"/>
  <c r="F31" i="78"/>
  <c r="J41" i="78"/>
  <c r="G51" i="78"/>
  <c r="I46" i="78"/>
  <c r="I47" i="78"/>
  <c r="F48" i="78"/>
  <c r="I50" i="78"/>
  <c r="I32" i="79"/>
  <c r="I36" i="79"/>
  <c r="I48" i="79"/>
  <c r="I49" i="79"/>
  <c r="H57" i="79"/>
  <c r="D16" i="78"/>
  <c r="I6" i="78"/>
  <c r="L23" i="78"/>
  <c r="K41" i="78"/>
  <c r="I33" i="78"/>
  <c r="F34" i="78"/>
  <c r="I35" i="78"/>
  <c r="F36" i="78"/>
  <c r="I37" i="78"/>
  <c r="F38" i="78"/>
  <c r="I39" i="78"/>
  <c r="F40" i="78"/>
  <c r="F47" i="78"/>
  <c r="H56" i="78"/>
  <c r="H57" i="78"/>
  <c r="D16" i="79"/>
  <c r="I14" i="79"/>
  <c r="G16" i="79"/>
  <c r="I23" i="79"/>
  <c r="I24" i="79"/>
  <c r="I35" i="79"/>
  <c r="I38" i="79"/>
  <c r="H56" i="79"/>
  <c r="F46" i="79"/>
  <c r="L47" i="79"/>
  <c r="E56" i="79"/>
  <c r="F46" i="78"/>
  <c r="L47" i="78"/>
  <c r="E56" i="78"/>
  <c r="L6" i="79"/>
  <c r="F21" i="79"/>
  <c r="L22" i="79"/>
  <c r="I31" i="79"/>
  <c r="I46" i="79"/>
  <c r="F6" i="75"/>
  <c r="D16" i="74"/>
  <c r="G16" i="66"/>
  <c r="D16" i="66"/>
  <c r="G16" i="71"/>
  <c r="I11" i="73"/>
  <c r="F6" i="73"/>
  <c r="L6" i="73"/>
  <c r="I22" i="73"/>
  <c r="I24" i="73"/>
  <c r="E26" i="73"/>
  <c r="F31" i="73"/>
  <c r="F33" i="73"/>
  <c r="F35" i="73"/>
  <c r="F37" i="73"/>
  <c r="F39" i="73"/>
  <c r="J41" i="73"/>
  <c r="F47" i="73"/>
  <c r="F49" i="73"/>
  <c r="F24" i="74"/>
  <c r="P26" i="74"/>
  <c r="L58" i="74" s="1"/>
  <c r="I32" i="74"/>
  <c r="I34" i="74"/>
  <c r="I36" i="74"/>
  <c r="I38" i="74"/>
  <c r="I40" i="74"/>
  <c r="G41" i="74"/>
  <c r="I47" i="74"/>
  <c r="F48" i="74"/>
  <c r="I48" i="74"/>
  <c r="I49" i="74"/>
  <c r="F50" i="74"/>
  <c r="I50" i="74"/>
  <c r="I6" i="75"/>
  <c r="L21" i="73"/>
  <c r="P26" i="73"/>
  <c r="L58" i="73" s="1"/>
  <c r="I46" i="73"/>
  <c r="H56" i="73"/>
  <c r="I21" i="74"/>
  <c r="L31" i="74"/>
  <c r="L46" i="74"/>
  <c r="J51" i="74"/>
  <c r="L47" i="74"/>
  <c r="I21" i="73"/>
  <c r="F46" i="73"/>
  <c r="L6" i="74"/>
  <c r="F21" i="74"/>
  <c r="E41" i="74"/>
  <c r="D51" i="74"/>
  <c r="F46" i="74"/>
  <c r="I46" i="74"/>
  <c r="L49" i="74"/>
  <c r="E16" i="75"/>
  <c r="I31" i="73"/>
  <c r="I33" i="73"/>
  <c r="I35" i="73"/>
  <c r="I37" i="73"/>
  <c r="E51" i="74"/>
  <c r="F49" i="74"/>
  <c r="H57" i="74"/>
  <c r="G26" i="75"/>
  <c r="F36" i="75"/>
  <c r="F38" i="75"/>
  <c r="F40" i="75"/>
  <c r="D41" i="75"/>
  <c r="F46" i="75"/>
  <c r="F48" i="75"/>
  <c r="F50" i="75"/>
  <c r="D51" i="75"/>
  <c r="I36" i="76"/>
  <c r="F38" i="76"/>
  <c r="I40" i="76"/>
  <c r="F47" i="76"/>
  <c r="E56" i="76"/>
  <c r="D16" i="77"/>
  <c r="F7" i="77"/>
  <c r="E56" i="74"/>
  <c r="L6" i="75"/>
  <c r="F21" i="75"/>
  <c r="I31" i="75"/>
  <c r="E16" i="76"/>
  <c r="I6" i="76"/>
  <c r="I15" i="76"/>
  <c r="J26" i="76"/>
  <c r="L21" i="76"/>
  <c r="L23" i="76"/>
  <c r="L25" i="76"/>
  <c r="H26" i="76"/>
  <c r="D41" i="76"/>
  <c r="H41" i="76"/>
  <c r="F35" i="76"/>
  <c r="F39" i="76"/>
  <c r="F48" i="76"/>
  <c r="I50" i="76"/>
  <c r="E57" i="76"/>
  <c r="L46" i="75"/>
  <c r="F6" i="76"/>
  <c r="F21" i="76"/>
  <c r="F23" i="76"/>
  <c r="F25" i="76"/>
  <c r="F32" i="76"/>
  <c r="I34" i="76"/>
  <c r="F36" i="76"/>
  <c r="I38" i="76"/>
  <c r="F40" i="76"/>
  <c r="J41" i="76"/>
  <c r="H51" i="76"/>
  <c r="F49" i="76"/>
  <c r="L65" i="76"/>
  <c r="J16" i="77"/>
  <c r="L6" i="77"/>
  <c r="I7" i="77"/>
  <c r="P26" i="75"/>
  <c r="L58" i="75" s="1"/>
  <c r="I32" i="75"/>
  <c r="I34" i="75"/>
  <c r="I14" i="76"/>
  <c r="H57" i="76"/>
  <c r="I49" i="76"/>
  <c r="I47" i="76"/>
  <c r="I39" i="76"/>
  <c r="I37" i="76"/>
  <c r="I35" i="76"/>
  <c r="I33" i="76"/>
  <c r="P26" i="76"/>
  <c r="L58" i="76" s="1"/>
  <c r="G26" i="76"/>
  <c r="I21" i="76"/>
  <c r="F22" i="76"/>
  <c r="I23" i="76"/>
  <c r="F24" i="76"/>
  <c r="I25" i="76"/>
  <c r="D26" i="76"/>
  <c r="F31" i="76"/>
  <c r="F33" i="76"/>
  <c r="D51" i="76"/>
  <c r="F46" i="76"/>
  <c r="I48" i="76"/>
  <c r="F50" i="76"/>
  <c r="J51" i="76"/>
  <c r="I46" i="76"/>
  <c r="H56" i="76"/>
  <c r="I21" i="77"/>
  <c r="L31" i="77"/>
  <c r="F46" i="77"/>
  <c r="E56" i="77"/>
  <c r="F21" i="77"/>
  <c r="L22" i="77"/>
  <c r="I31" i="77"/>
  <c r="I47" i="77"/>
  <c r="I22" i="77"/>
  <c r="F31" i="77"/>
  <c r="F33" i="77"/>
  <c r="F35" i="77"/>
  <c r="F37" i="77"/>
  <c r="L46" i="77"/>
  <c r="J16" i="69"/>
  <c r="G16" i="69"/>
  <c r="E16" i="67"/>
  <c r="L7" i="67"/>
  <c r="E16" i="69"/>
  <c r="I21" i="69"/>
  <c r="K26" i="69"/>
  <c r="L31" i="69"/>
  <c r="F46" i="69"/>
  <c r="H51" i="69"/>
  <c r="E56" i="69"/>
  <c r="L6" i="70"/>
  <c r="L6" i="69"/>
  <c r="F21" i="69"/>
  <c r="I31" i="69"/>
  <c r="I6" i="70"/>
  <c r="I7" i="70"/>
  <c r="I22" i="69"/>
  <c r="I24" i="69"/>
  <c r="F31" i="69"/>
  <c r="F33" i="69"/>
  <c r="F35" i="69"/>
  <c r="F37" i="69"/>
  <c r="F39" i="69"/>
  <c r="F47" i="69"/>
  <c r="F49" i="69"/>
  <c r="P26" i="69"/>
  <c r="L58" i="69" s="1"/>
  <c r="I9" i="70"/>
  <c r="F21" i="70"/>
  <c r="H26" i="70"/>
  <c r="I31" i="70"/>
  <c r="E51" i="70"/>
  <c r="I6" i="71"/>
  <c r="K16" i="71"/>
  <c r="P26" i="71"/>
  <c r="L58" i="71" s="1"/>
  <c r="I31" i="71"/>
  <c r="I32" i="71"/>
  <c r="I33" i="71"/>
  <c r="I34" i="71"/>
  <c r="I46" i="71"/>
  <c r="H57" i="71"/>
  <c r="F7" i="72"/>
  <c r="E16" i="72"/>
  <c r="F31" i="70"/>
  <c r="L46" i="70"/>
  <c r="K56" i="70"/>
  <c r="F6" i="71"/>
  <c r="J16" i="71"/>
  <c r="I11" i="71"/>
  <c r="I15" i="71"/>
  <c r="D26" i="71"/>
  <c r="F21" i="71"/>
  <c r="I22" i="71"/>
  <c r="I25" i="71"/>
  <c r="L35" i="71"/>
  <c r="I39" i="71"/>
  <c r="F40" i="71"/>
  <c r="I40" i="71"/>
  <c r="E51" i="71"/>
  <c r="L47" i="71"/>
  <c r="H56" i="71"/>
  <c r="F22" i="70"/>
  <c r="P26" i="70"/>
  <c r="L58" i="70" s="1"/>
  <c r="K41" i="70"/>
  <c r="I46" i="70"/>
  <c r="I48" i="70"/>
  <c r="I37" i="71"/>
  <c r="I38" i="71"/>
  <c r="G41" i="71"/>
  <c r="I49" i="71"/>
  <c r="I50" i="71"/>
  <c r="K16" i="72"/>
  <c r="L6" i="72"/>
  <c r="I13" i="71"/>
  <c r="G26" i="71"/>
  <c r="I21" i="71"/>
  <c r="L21" i="71"/>
  <c r="J26" i="71"/>
  <c r="I35" i="71"/>
  <c r="F36" i="71"/>
  <c r="I36" i="71"/>
  <c r="L39" i="71"/>
  <c r="I47" i="71"/>
  <c r="F48" i="71"/>
  <c r="I48" i="71"/>
  <c r="G51" i="71"/>
  <c r="G16" i="72"/>
  <c r="I6" i="72"/>
  <c r="G26" i="72"/>
  <c r="K26" i="72"/>
  <c r="D41" i="72"/>
  <c r="H41" i="72"/>
  <c r="D51" i="72"/>
  <c r="H51" i="72"/>
  <c r="L31" i="71"/>
  <c r="F46" i="71"/>
  <c r="E56" i="71"/>
  <c r="F21" i="72"/>
  <c r="L46" i="72"/>
  <c r="F35" i="71"/>
  <c r="F37" i="71"/>
  <c r="F39" i="71"/>
  <c r="F47" i="71"/>
  <c r="F49" i="71"/>
  <c r="F6" i="72"/>
  <c r="L21" i="72"/>
  <c r="I46" i="72"/>
  <c r="H57" i="67"/>
  <c r="I49" i="67"/>
  <c r="I47" i="67"/>
  <c r="P26" i="67"/>
  <c r="L58" i="67" s="1"/>
  <c r="I23" i="67"/>
  <c r="I24" i="67"/>
  <c r="G26" i="67"/>
  <c r="F35" i="67"/>
  <c r="F49" i="67"/>
  <c r="J16" i="68"/>
  <c r="L6" i="68"/>
  <c r="L23" i="67"/>
  <c r="I34" i="67"/>
  <c r="I37" i="67"/>
  <c r="F38" i="67"/>
  <c r="I39" i="67"/>
  <c r="F40" i="67"/>
  <c r="D51" i="67"/>
  <c r="F46" i="67"/>
  <c r="I48" i="67"/>
  <c r="F50" i="67"/>
  <c r="J51" i="67"/>
  <c r="H16" i="68"/>
  <c r="I6" i="67"/>
  <c r="F6" i="67"/>
  <c r="I15" i="67"/>
  <c r="D26" i="67"/>
  <c r="D41" i="67"/>
  <c r="H41" i="67"/>
  <c r="L31" i="67"/>
  <c r="F47" i="67"/>
  <c r="E56" i="67"/>
  <c r="D16" i="68"/>
  <c r="F7" i="68"/>
  <c r="F21" i="67"/>
  <c r="J26" i="67"/>
  <c r="L21" i="67"/>
  <c r="L25" i="67"/>
  <c r="I31" i="67"/>
  <c r="I32" i="67"/>
  <c r="I36" i="67"/>
  <c r="I38" i="67"/>
  <c r="I40" i="67"/>
  <c r="F48" i="67"/>
  <c r="I50" i="67"/>
  <c r="I9" i="68"/>
  <c r="I46" i="67"/>
  <c r="H56" i="67"/>
  <c r="I7" i="68"/>
  <c r="I21" i="68"/>
  <c r="L31" i="68"/>
  <c r="F46" i="68"/>
  <c r="L47" i="68"/>
  <c r="E56" i="68"/>
  <c r="F21" i="68"/>
  <c r="L22" i="68"/>
  <c r="I31" i="68"/>
  <c r="I22" i="68"/>
  <c r="F39" i="68"/>
  <c r="F47" i="68"/>
  <c r="F49" i="68"/>
  <c r="I46" i="68"/>
  <c r="I21" i="66"/>
  <c r="L31" i="66"/>
  <c r="F46" i="66"/>
  <c r="E56" i="66"/>
  <c r="L6" i="66"/>
  <c r="F21" i="66"/>
  <c r="L22" i="66"/>
  <c r="I31" i="66"/>
  <c r="E41" i="66"/>
  <c r="I47" i="66"/>
  <c r="F37" i="66"/>
  <c r="F39" i="66"/>
  <c r="L46" i="66"/>
  <c r="F47" i="66"/>
  <c r="I32" i="66"/>
  <c r="I34" i="66"/>
  <c r="I36" i="66"/>
  <c r="I38" i="66"/>
  <c r="I40" i="66"/>
  <c r="I46" i="66"/>
  <c r="I48" i="66"/>
  <c r="I50" i="66"/>
  <c r="G16" i="65"/>
  <c r="D16" i="65"/>
  <c r="E16" i="65"/>
  <c r="I21" i="65"/>
  <c r="L31" i="65"/>
  <c r="F46" i="65"/>
  <c r="L47" i="65"/>
  <c r="E56" i="65"/>
  <c r="L6" i="65"/>
  <c r="F21" i="65"/>
  <c r="I31" i="65"/>
  <c r="I22" i="65"/>
  <c r="I24" i="65"/>
  <c r="E26" i="65"/>
  <c r="F33" i="65"/>
  <c r="F35" i="65"/>
  <c r="F37" i="65"/>
  <c r="F39" i="65"/>
  <c r="F47" i="65"/>
  <c r="F49" i="65"/>
  <c r="L21" i="65"/>
  <c r="I46" i="65"/>
  <c r="G16" i="64"/>
  <c r="L65" i="64"/>
  <c r="F6" i="64"/>
  <c r="I21" i="64"/>
  <c r="L31" i="64"/>
  <c r="F46" i="64"/>
  <c r="E56" i="64"/>
  <c r="F25" i="64"/>
  <c r="D26" i="64"/>
  <c r="E41" i="64"/>
  <c r="I47" i="64"/>
  <c r="I49" i="64"/>
  <c r="H57" i="64"/>
  <c r="F23" i="64"/>
  <c r="I6" i="64"/>
  <c r="L46" i="64"/>
  <c r="J16" i="64"/>
  <c r="L21" i="64"/>
  <c r="I46" i="64"/>
  <c r="I6" i="63"/>
  <c r="E16" i="63"/>
  <c r="D16" i="63"/>
  <c r="I21" i="63"/>
  <c r="L31" i="63"/>
  <c r="F46" i="63"/>
  <c r="E56" i="63"/>
  <c r="L6" i="63"/>
  <c r="F21" i="63"/>
  <c r="L22" i="63"/>
  <c r="I31" i="63"/>
  <c r="I47" i="63"/>
  <c r="F31" i="63"/>
  <c r="F33" i="63"/>
  <c r="F35" i="63"/>
  <c r="F37" i="63"/>
  <c r="F39" i="63"/>
  <c r="L46" i="63"/>
  <c r="F47" i="63"/>
  <c r="I38" i="63"/>
  <c r="I40" i="63"/>
  <c r="I46" i="63"/>
  <c r="I48" i="63"/>
  <c r="I50" i="63"/>
  <c r="J57" i="62"/>
  <c r="I57" i="62"/>
  <c r="G57" i="62"/>
  <c r="F57" i="62"/>
  <c r="D57" i="62"/>
  <c r="C57" i="62"/>
  <c r="J56" i="62"/>
  <c r="I56" i="62"/>
  <c r="G56" i="62"/>
  <c r="F56" i="62"/>
  <c r="D56" i="62"/>
  <c r="D59" i="62" s="1"/>
  <c r="C56" i="62"/>
  <c r="C59" i="62" s="1"/>
  <c r="K50" i="62"/>
  <c r="J50" i="62"/>
  <c r="H50" i="62"/>
  <c r="G50" i="62"/>
  <c r="E50" i="62"/>
  <c r="D50" i="62"/>
  <c r="K49" i="62"/>
  <c r="J49" i="62"/>
  <c r="H49" i="62"/>
  <c r="G49" i="62"/>
  <c r="E49" i="62"/>
  <c r="D49" i="62"/>
  <c r="K48" i="62"/>
  <c r="J48" i="62"/>
  <c r="H48" i="62"/>
  <c r="G48" i="62"/>
  <c r="E48" i="62"/>
  <c r="D48" i="62"/>
  <c r="K47" i="62"/>
  <c r="J47" i="62"/>
  <c r="H47" i="62"/>
  <c r="G47" i="62"/>
  <c r="E47" i="62"/>
  <c r="D47" i="62"/>
  <c r="K46" i="62"/>
  <c r="J46" i="62"/>
  <c r="H46" i="62"/>
  <c r="G46" i="62"/>
  <c r="E46" i="62"/>
  <c r="E51" i="62" s="1"/>
  <c r="D46" i="62"/>
  <c r="D51" i="62" s="1"/>
  <c r="K40" i="62"/>
  <c r="J40" i="62"/>
  <c r="H40" i="62"/>
  <c r="G40" i="62"/>
  <c r="E40" i="62"/>
  <c r="D40" i="62"/>
  <c r="J39" i="62"/>
  <c r="H39" i="62"/>
  <c r="G39" i="62"/>
  <c r="E39" i="62"/>
  <c r="D39" i="62"/>
  <c r="K38" i="62"/>
  <c r="J38" i="62"/>
  <c r="H38" i="62"/>
  <c r="G38" i="62"/>
  <c r="E38" i="62"/>
  <c r="D38" i="62"/>
  <c r="K37" i="62"/>
  <c r="J37" i="62"/>
  <c r="H37" i="62"/>
  <c r="G37" i="62"/>
  <c r="E37" i="62"/>
  <c r="D37" i="62"/>
  <c r="K36" i="62"/>
  <c r="J36" i="62"/>
  <c r="H36" i="62"/>
  <c r="G36" i="62"/>
  <c r="E36" i="62"/>
  <c r="D36" i="62"/>
  <c r="J35" i="62"/>
  <c r="H35" i="62"/>
  <c r="G35" i="62"/>
  <c r="E35" i="62"/>
  <c r="D35" i="62"/>
  <c r="K34" i="62"/>
  <c r="J34" i="62"/>
  <c r="H34" i="62"/>
  <c r="G34" i="62"/>
  <c r="E34" i="62"/>
  <c r="D34" i="62"/>
  <c r="K33" i="62"/>
  <c r="J33" i="62"/>
  <c r="H33" i="62"/>
  <c r="G33" i="62"/>
  <c r="E33" i="62"/>
  <c r="D33" i="62"/>
  <c r="J32" i="62"/>
  <c r="H32" i="62"/>
  <c r="G32" i="62"/>
  <c r="E32" i="62"/>
  <c r="D32" i="62"/>
  <c r="K31" i="62"/>
  <c r="J31" i="62"/>
  <c r="H31" i="62"/>
  <c r="G31" i="62"/>
  <c r="E31" i="62"/>
  <c r="E41" i="62" s="1"/>
  <c r="D31" i="62"/>
  <c r="K25" i="62"/>
  <c r="J25" i="62"/>
  <c r="H25" i="62"/>
  <c r="G25" i="62"/>
  <c r="E25" i="62"/>
  <c r="D25" i="62"/>
  <c r="K24" i="62"/>
  <c r="J24" i="62"/>
  <c r="H24" i="62"/>
  <c r="G24" i="62"/>
  <c r="E24" i="62"/>
  <c r="D24" i="62"/>
  <c r="K23" i="62"/>
  <c r="J23" i="62"/>
  <c r="H23" i="62"/>
  <c r="G23" i="62"/>
  <c r="E23" i="62"/>
  <c r="D23" i="62"/>
  <c r="K22" i="62"/>
  <c r="J22" i="62"/>
  <c r="H22" i="62"/>
  <c r="G22" i="62"/>
  <c r="E22" i="62"/>
  <c r="D22" i="62"/>
  <c r="K21" i="62"/>
  <c r="J21" i="62"/>
  <c r="H21" i="62"/>
  <c r="G21" i="62"/>
  <c r="E21" i="62"/>
  <c r="E26" i="62" s="1"/>
  <c r="D21" i="62"/>
  <c r="D26" i="62" s="1"/>
  <c r="K15" i="62"/>
  <c r="J15" i="62"/>
  <c r="H15" i="62"/>
  <c r="G15" i="62"/>
  <c r="E15" i="62"/>
  <c r="D15" i="62"/>
  <c r="K14" i="62"/>
  <c r="J14" i="62"/>
  <c r="H14" i="62"/>
  <c r="G14" i="62"/>
  <c r="E14" i="62"/>
  <c r="D14" i="62"/>
  <c r="K13" i="62"/>
  <c r="J13" i="62"/>
  <c r="H13" i="62"/>
  <c r="G13" i="62"/>
  <c r="E13" i="62"/>
  <c r="D13" i="62"/>
  <c r="K12" i="62"/>
  <c r="J12" i="62"/>
  <c r="H12" i="62"/>
  <c r="G12" i="62"/>
  <c r="E12" i="62"/>
  <c r="D12" i="62"/>
  <c r="K11" i="62"/>
  <c r="J11" i="62"/>
  <c r="H11" i="62"/>
  <c r="G11" i="62"/>
  <c r="E11" i="62"/>
  <c r="D11" i="62"/>
  <c r="K10" i="62"/>
  <c r="J10" i="62"/>
  <c r="H10" i="62"/>
  <c r="G10" i="62"/>
  <c r="E10" i="62"/>
  <c r="D10" i="62"/>
  <c r="L9" i="62"/>
  <c r="H9" i="62"/>
  <c r="E9" i="62"/>
  <c r="D9" i="62"/>
  <c r="K8" i="62"/>
  <c r="J8" i="62"/>
  <c r="H8" i="62"/>
  <c r="G8" i="62"/>
  <c r="E8" i="62"/>
  <c r="D8" i="62"/>
  <c r="K7" i="62"/>
  <c r="J7" i="62"/>
  <c r="H7" i="62"/>
  <c r="G7" i="62"/>
  <c r="E7" i="62"/>
  <c r="D7" i="62"/>
  <c r="K6" i="62"/>
  <c r="J6" i="62"/>
  <c r="H6" i="62"/>
  <c r="G6" i="62"/>
  <c r="E6" i="62"/>
  <c r="D6" i="62"/>
  <c r="D16" i="62" s="1"/>
  <c r="K65" i="62"/>
  <c r="G65" i="62"/>
  <c r="F65" i="62"/>
  <c r="D65" i="62"/>
  <c r="C65" i="62"/>
  <c r="P20" i="62"/>
  <c r="P17" i="62"/>
  <c r="E58" i="62" s="1"/>
  <c r="P15" i="62"/>
  <c r="P9" i="62"/>
  <c r="J57" i="61"/>
  <c r="I57" i="61"/>
  <c r="G57" i="61"/>
  <c r="F57" i="61"/>
  <c r="D57" i="61"/>
  <c r="C57" i="61"/>
  <c r="J56" i="61"/>
  <c r="I56" i="61"/>
  <c r="G56" i="61"/>
  <c r="F56" i="61"/>
  <c r="D56" i="61"/>
  <c r="C56" i="61"/>
  <c r="K50" i="61"/>
  <c r="J50" i="61"/>
  <c r="H50" i="61"/>
  <c r="G50" i="61"/>
  <c r="E50" i="61"/>
  <c r="D50" i="61"/>
  <c r="K49" i="61"/>
  <c r="J49" i="61"/>
  <c r="H49" i="61"/>
  <c r="G49" i="61"/>
  <c r="E49" i="61"/>
  <c r="D49" i="61"/>
  <c r="K48" i="61"/>
  <c r="J48" i="61"/>
  <c r="H48" i="61"/>
  <c r="G48" i="61"/>
  <c r="E48" i="61"/>
  <c r="D48" i="61"/>
  <c r="K47" i="61"/>
  <c r="J47" i="61"/>
  <c r="H47" i="61"/>
  <c r="G47" i="61"/>
  <c r="E47" i="61"/>
  <c r="D47" i="61"/>
  <c r="K46" i="61"/>
  <c r="J46" i="61"/>
  <c r="H46" i="61"/>
  <c r="G46" i="61"/>
  <c r="E46" i="61"/>
  <c r="D46" i="61"/>
  <c r="K40" i="61"/>
  <c r="J40" i="61"/>
  <c r="H40" i="61"/>
  <c r="G40" i="61"/>
  <c r="E40" i="61"/>
  <c r="D40" i="61"/>
  <c r="J39" i="61"/>
  <c r="H39" i="61"/>
  <c r="G39" i="61"/>
  <c r="E39" i="61"/>
  <c r="D39" i="61"/>
  <c r="K38" i="61"/>
  <c r="J38" i="61"/>
  <c r="H38" i="61"/>
  <c r="G38" i="61"/>
  <c r="E38" i="61"/>
  <c r="D38" i="61"/>
  <c r="K37" i="61"/>
  <c r="J37" i="61"/>
  <c r="H37" i="61"/>
  <c r="G37" i="61"/>
  <c r="E37" i="61"/>
  <c r="D37" i="61"/>
  <c r="K36" i="61"/>
  <c r="J36" i="61"/>
  <c r="H36" i="61"/>
  <c r="G36" i="61"/>
  <c r="E36" i="61"/>
  <c r="D36" i="61"/>
  <c r="J35" i="61"/>
  <c r="H35" i="61"/>
  <c r="G35" i="61"/>
  <c r="E35" i="61"/>
  <c r="D35" i="61"/>
  <c r="K34" i="61"/>
  <c r="J34" i="61"/>
  <c r="H34" i="61"/>
  <c r="G34" i="61"/>
  <c r="E34" i="61"/>
  <c r="D34" i="61"/>
  <c r="K33" i="61"/>
  <c r="J33" i="61"/>
  <c r="H33" i="61"/>
  <c r="G33" i="61"/>
  <c r="E33" i="61"/>
  <c r="D33" i="61"/>
  <c r="J32" i="61"/>
  <c r="H32" i="61"/>
  <c r="G32" i="61"/>
  <c r="E32" i="61"/>
  <c r="D32" i="61"/>
  <c r="K31" i="61"/>
  <c r="J31" i="61"/>
  <c r="H31" i="61"/>
  <c r="G31" i="61"/>
  <c r="E31" i="61"/>
  <c r="D31" i="61"/>
  <c r="K25" i="61"/>
  <c r="J25" i="61"/>
  <c r="H25" i="61"/>
  <c r="G25" i="61"/>
  <c r="E25" i="61"/>
  <c r="D25" i="61"/>
  <c r="K24" i="61"/>
  <c r="J24" i="61"/>
  <c r="H24" i="61"/>
  <c r="G24" i="61"/>
  <c r="E24" i="61"/>
  <c r="D24" i="61"/>
  <c r="K23" i="61"/>
  <c r="J23" i="61"/>
  <c r="H23" i="61"/>
  <c r="G23" i="61"/>
  <c r="E23" i="61"/>
  <c r="D23" i="61"/>
  <c r="K22" i="61"/>
  <c r="J22" i="61"/>
  <c r="H22" i="61"/>
  <c r="G22" i="61"/>
  <c r="E22" i="61"/>
  <c r="D22" i="61"/>
  <c r="K21" i="61"/>
  <c r="J21" i="61"/>
  <c r="H21" i="61"/>
  <c r="G21" i="61"/>
  <c r="E21" i="61"/>
  <c r="D21" i="61"/>
  <c r="K15" i="61"/>
  <c r="J15" i="61"/>
  <c r="H15" i="61"/>
  <c r="G15" i="61"/>
  <c r="E15" i="61"/>
  <c r="D15" i="61"/>
  <c r="K14" i="61"/>
  <c r="J14" i="61"/>
  <c r="H14" i="61"/>
  <c r="G14" i="61"/>
  <c r="E14" i="61"/>
  <c r="D14" i="61"/>
  <c r="K13" i="61"/>
  <c r="J13" i="61"/>
  <c r="H13" i="61"/>
  <c r="G13" i="61"/>
  <c r="E13" i="61"/>
  <c r="D13" i="61"/>
  <c r="K11" i="61"/>
  <c r="J11" i="61"/>
  <c r="H11" i="61"/>
  <c r="G11" i="61"/>
  <c r="E11" i="61"/>
  <c r="D11" i="61"/>
  <c r="K10" i="61"/>
  <c r="J10" i="61"/>
  <c r="H10" i="61"/>
  <c r="G10" i="61"/>
  <c r="E10" i="61"/>
  <c r="D10" i="61"/>
  <c r="H9" i="61"/>
  <c r="E9" i="61"/>
  <c r="D9" i="61"/>
  <c r="K7" i="61"/>
  <c r="J7" i="61"/>
  <c r="H7" i="61"/>
  <c r="G7" i="61"/>
  <c r="E7" i="61"/>
  <c r="K6" i="61"/>
  <c r="J6" i="61"/>
  <c r="H6" i="61"/>
  <c r="G6" i="61"/>
  <c r="E6" i="61"/>
  <c r="D6" i="61"/>
  <c r="K65" i="61"/>
  <c r="G65" i="61"/>
  <c r="F65" i="61"/>
  <c r="D65" i="61"/>
  <c r="C65" i="61"/>
  <c r="P20" i="61"/>
  <c r="H58" i="61" s="1"/>
  <c r="P17" i="61"/>
  <c r="E58" i="61" s="1"/>
  <c r="P15" i="61"/>
  <c r="P9" i="61"/>
  <c r="L9" i="61"/>
  <c r="J57" i="60"/>
  <c r="I57" i="60"/>
  <c r="G57" i="60"/>
  <c r="F57" i="60"/>
  <c r="D57" i="60"/>
  <c r="C57" i="60"/>
  <c r="J56" i="60"/>
  <c r="I56" i="60"/>
  <c r="G56" i="60"/>
  <c r="F56" i="60"/>
  <c r="D56" i="60"/>
  <c r="C56" i="60"/>
  <c r="K50" i="60"/>
  <c r="J50" i="60"/>
  <c r="H50" i="60"/>
  <c r="G50" i="60"/>
  <c r="E50" i="60"/>
  <c r="D50" i="60"/>
  <c r="K49" i="60"/>
  <c r="J49" i="60"/>
  <c r="H49" i="60"/>
  <c r="G49" i="60"/>
  <c r="E49" i="60"/>
  <c r="D49" i="60"/>
  <c r="K48" i="60"/>
  <c r="J48" i="60"/>
  <c r="H48" i="60"/>
  <c r="G48" i="60"/>
  <c r="E48" i="60"/>
  <c r="D48" i="60"/>
  <c r="K47" i="60"/>
  <c r="J47" i="60"/>
  <c r="H47" i="60"/>
  <c r="G47" i="60"/>
  <c r="E47" i="60"/>
  <c r="D47" i="60"/>
  <c r="K46" i="60"/>
  <c r="J46" i="60"/>
  <c r="H46" i="60"/>
  <c r="G46" i="60"/>
  <c r="E46" i="60"/>
  <c r="D46" i="60"/>
  <c r="K40" i="60"/>
  <c r="J40" i="60"/>
  <c r="H40" i="60"/>
  <c r="G40" i="60"/>
  <c r="E40" i="60"/>
  <c r="D40" i="60"/>
  <c r="J39" i="60"/>
  <c r="H39" i="60"/>
  <c r="G39" i="60"/>
  <c r="E39" i="60"/>
  <c r="D39" i="60"/>
  <c r="K38" i="60"/>
  <c r="J38" i="60"/>
  <c r="H38" i="60"/>
  <c r="G38" i="60"/>
  <c r="E38" i="60"/>
  <c r="D38" i="60"/>
  <c r="K37" i="60"/>
  <c r="J37" i="60"/>
  <c r="H37" i="60"/>
  <c r="G37" i="60"/>
  <c r="E37" i="60"/>
  <c r="D37" i="60"/>
  <c r="K36" i="60"/>
  <c r="J36" i="60"/>
  <c r="H36" i="60"/>
  <c r="G36" i="60"/>
  <c r="E36" i="60"/>
  <c r="D36" i="60"/>
  <c r="J35" i="60"/>
  <c r="H35" i="60"/>
  <c r="G35" i="60"/>
  <c r="E35" i="60"/>
  <c r="D35" i="60"/>
  <c r="K34" i="60"/>
  <c r="J34" i="60"/>
  <c r="H34" i="60"/>
  <c r="G34" i="60"/>
  <c r="E34" i="60"/>
  <c r="D34" i="60"/>
  <c r="K33" i="60"/>
  <c r="J33" i="60"/>
  <c r="H33" i="60"/>
  <c r="G33" i="60"/>
  <c r="E33" i="60"/>
  <c r="D33" i="60"/>
  <c r="J32" i="60"/>
  <c r="H32" i="60"/>
  <c r="G32" i="60"/>
  <c r="E32" i="60"/>
  <c r="D32" i="60"/>
  <c r="K31" i="60"/>
  <c r="J31" i="60"/>
  <c r="H31" i="60"/>
  <c r="G31" i="60"/>
  <c r="E31" i="60"/>
  <c r="D31" i="60"/>
  <c r="K25" i="60"/>
  <c r="J25" i="60"/>
  <c r="H25" i="60"/>
  <c r="G25" i="60"/>
  <c r="E25" i="60"/>
  <c r="D25" i="60"/>
  <c r="K24" i="60"/>
  <c r="J24" i="60"/>
  <c r="H24" i="60"/>
  <c r="G24" i="60"/>
  <c r="E24" i="60"/>
  <c r="D24" i="60"/>
  <c r="K23" i="60"/>
  <c r="J23" i="60"/>
  <c r="H23" i="60"/>
  <c r="G23" i="60"/>
  <c r="E23" i="60"/>
  <c r="D23" i="60"/>
  <c r="K22" i="60"/>
  <c r="J22" i="60"/>
  <c r="H22" i="60"/>
  <c r="G22" i="60"/>
  <c r="E22" i="60"/>
  <c r="D22" i="60"/>
  <c r="K21" i="60"/>
  <c r="J21" i="60"/>
  <c r="H21" i="60"/>
  <c r="G21" i="60"/>
  <c r="E21" i="60"/>
  <c r="D21" i="60"/>
  <c r="K15" i="60"/>
  <c r="J15" i="60"/>
  <c r="H15" i="60"/>
  <c r="G15" i="60"/>
  <c r="E15" i="60"/>
  <c r="D15" i="60"/>
  <c r="K14" i="60"/>
  <c r="J14" i="60"/>
  <c r="H14" i="60"/>
  <c r="G14" i="60"/>
  <c r="E14" i="60"/>
  <c r="D14" i="60"/>
  <c r="K13" i="60"/>
  <c r="J13" i="60"/>
  <c r="H13" i="60"/>
  <c r="G13" i="60"/>
  <c r="E13" i="60"/>
  <c r="D13" i="60"/>
  <c r="K11" i="60"/>
  <c r="J11" i="60"/>
  <c r="H11" i="60"/>
  <c r="G11" i="60"/>
  <c r="E11" i="60"/>
  <c r="D11" i="60"/>
  <c r="K10" i="60"/>
  <c r="J10" i="60"/>
  <c r="H10" i="60"/>
  <c r="G10" i="60"/>
  <c r="E10" i="60"/>
  <c r="D10" i="60"/>
  <c r="L9" i="60"/>
  <c r="H9" i="60"/>
  <c r="E9" i="60"/>
  <c r="D9" i="60"/>
  <c r="K8" i="60"/>
  <c r="J8" i="60"/>
  <c r="H8" i="60"/>
  <c r="G8" i="60"/>
  <c r="E8" i="60"/>
  <c r="D8" i="60"/>
  <c r="K7" i="60"/>
  <c r="J7" i="60"/>
  <c r="H7" i="60"/>
  <c r="G7" i="60"/>
  <c r="E7" i="60"/>
  <c r="D7" i="60"/>
  <c r="K6" i="60"/>
  <c r="J6" i="60"/>
  <c r="H6" i="60"/>
  <c r="G6" i="60"/>
  <c r="E6" i="60"/>
  <c r="D6" i="60"/>
  <c r="K65" i="60"/>
  <c r="G65" i="60"/>
  <c r="F65" i="60"/>
  <c r="D65" i="60"/>
  <c r="C65" i="60"/>
  <c r="P20" i="60"/>
  <c r="H58" i="60" s="1"/>
  <c r="P17" i="60"/>
  <c r="E58" i="60" s="1"/>
  <c r="P15" i="60"/>
  <c r="P9" i="60"/>
  <c r="I26" i="81" l="1"/>
  <c r="L26" i="81"/>
  <c r="L65" i="84"/>
  <c r="L65" i="83"/>
  <c r="M21" i="81"/>
  <c r="F26" i="81"/>
  <c r="L65" i="68"/>
  <c r="L65" i="67"/>
  <c r="L65" i="87"/>
  <c r="L65" i="75"/>
  <c r="L65" i="82"/>
  <c r="K59" i="80"/>
  <c r="L65" i="66"/>
  <c r="H65" i="60"/>
  <c r="E59" i="70"/>
  <c r="K56" i="62"/>
  <c r="K59" i="85"/>
  <c r="K59" i="71"/>
  <c r="L58" i="64"/>
  <c r="L65" i="74"/>
  <c r="L65" i="86"/>
  <c r="K59" i="82"/>
  <c r="K59" i="87"/>
  <c r="J51" i="62"/>
  <c r="L49" i="62"/>
  <c r="L58" i="77"/>
  <c r="L58" i="88"/>
  <c r="L58" i="87"/>
  <c r="E59" i="86"/>
  <c r="E59" i="83"/>
  <c r="L65" i="70"/>
  <c r="K59" i="69"/>
  <c r="H65" i="61"/>
  <c r="L48" i="61"/>
  <c r="H51" i="62"/>
  <c r="H59" i="71"/>
  <c r="H59" i="85"/>
  <c r="E65" i="61"/>
  <c r="E65" i="62"/>
  <c r="L65" i="62" s="1"/>
  <c r="M9" i="83"/>
  <c r="H65" i="62"/>
  <c r="E59" i="78"/>
  <c r="E59" i="79"/>
  <c r="I49" i="62"/>
  <c r="H58" i="62"/>
  <c r="E59" i="88"/>
  <c r="L58" i="83"/>
  <c r="L58" i="86"/>
  <c r="M9" i="66"/>
  <c r="K59" i="75"/>
  <c r="H59" i="83"/>
  <c r="K56" i="61"/>
  <c r="J51" i="61"/>
  <c r="L37" i="61"/>
  <c r="K59" i="70"/>
  <c r="E51" i="61"/>
  <c r="H59" i="80"/>
  <c r="H59" i="68"/>
  <c r="M38" i="66"/>
  <c r="E59" i="75"/>
  <c r="K59" i="74"/>
  <c r="M11" i="77"/>
  <c r="J41" i="60"/>
  <c r="F47" i="60"/>
  <c r="L46" i="61"/>
  <c r="E59" i="63"/>
  <c r="E59" i="67"/>
  <c r="H59" i="72"/>
  <c r="L51" i="73"/>
  <c r="K59" i="84"/>
  <c r="I51" i="73"/>
  <c r="E41" i="60"/>
  <c r="J26" i="62"/>
  <c r="L34" i="62"/>
  <c r="F39" i="60"/>
  <c r="L32" i="61"/>
  <c r="L34" i="61"/>
  <c r="L40" i="61"/>
  <c r="F33" i="60"/>
  <c r="J51" i="60"/>
  <c r="L21" i="62"/>
  <c r="L25" i="62"/>
  <c r="L25" i="61"/>
  <c r="K41" i="62"/>
  <c r="J41" i="61"/>
  <c r="F59" i="61"/>
  <c r="F24" i="60"/>
  <c r="J59" i="62"/>
  <c r="F15" i="61"/>
  <c r="L15" i="61"/>
  <c r="J16" i="62"/>
  <c r="G26" i="62"/>
  <c r="F59" i="62"/>
  <c r="G41" i="61"/>
  <c r="K59" i="79"/>
  <c r="F22" i="60"/>
  <c r="K59" i="78"/>
  <c r="G59" i="60"/>
  <c r="G59" i="62"/>
  <c r="L51" i="86"/>
  <c r="I59" i="60"/>
  <c r="L33" i="62"/>
  <c r="L50" i="62"/>
  <c r="E59" i="66"/>
  <c r="E59" i="68"/>
  <c r="E59" i="71"/>
  <c r="L57" i="71"/>
  <c r="H59" i="76"/>
  <c r="E59" i="73"/>
  <c r="E59" i="84"/>
  <c r="K59" i="81"/>
  <c r="I59" i="62"/>
  <c r="E59" i="64"/>
  <c r="M40" i="66"/>
  <c r="E59" i="85"/>
  <c r="K59" i="86"/>
  <c r="L57" i="64"/>
  <c r="E59" i="69"/>
  <c r="E59" i="80"/>
  <c r="K59" i="64"/>
  <c r="C59" i="60"/>
  <c r="G59" i="61"/>
  <c r="E59" i="77"/>
  <c r="H59" i="78"/>
  <c r="H59" i="88"/>
  <c r="K59" i="67"/>
  <c r="H59" i="70"/>
  <c r="E59" i="72"/>
  <c r="H59" i="79"/>
  <c r="E59" i="87"/>
  <c r="H59" i="64"/>
  <c r="H59" i="82"/>
  <c r="K59" i="76"/>
  <c r="K59" i="68"/>
  <c r="K59" i="66"/>
  <c r="K59" i="88"/>
  <c r="K59" i="77"/>
  <c r="K59" i="73"/>
  <c r="D59" i="60"/>
  <c r="J59" i="60"/>
  <c r="G51" i="61"/>
  <c r="C59" i="61"/>
  <c r="I59" i="61"/>
  <c r="H59" i="87"/>
  <c r="K59" i="63"/>
  <c r="H59" i="63"/>
  <c r="F59" i="60"/>
  <c r="H51" i="61"/>
  <c r="D59" i="61"/>
  <c r="J59" i="61"/>
  <c r="E59" i="65"/>
  <c r="H59" i="67"/>
  <c r="E59" i="76"/>
  <c r="H59" i="73"/>
  <c r="E59" i="81"/>
  <c r="H59" i="66"/>
  <c r="H59" i="81"/>
  <c r="H59" i="84"/>
  <c r="H59" i="86"/>
  <c r="K59" i="72"/>
  <c r="E59" i="74"/>
  <c r="E59" i="82"/>
  <c r="K59" i="65"/>
  <c r="H59" i="65"/>
  <c r="H59" i="74"/>
  <c r="H59" i="75"/>
  <c r="H59" i="77"/>
  <c r="K59" i="83"/>
  <c r="H59" i="69"/>
  <c r="K51" i="62"/>
  <c r="L13" i="61"/>
  <c r="L33" i="61"/>
  <c r="L50" i="61"/>
  <c r="K57" i="61"/>
  <c r="L12" i="62"/>
  <c r="L23" i="62"/>
  <c r="L40" i="62"/>
  <c r="M36" i="66"/>
  <c r="L51" i="68"/>
  <c r="K56" i="60"/>
  <c r="M36" i="63"/>
  <c r="M14" i="63"/>
  <c r="H26" i="61"/>
  <c r="K41" i="61"/>
  <c r="K51" i="61"/>
  <c r="K41" i="60"/>
  <c r="L37" i="60"/>
  <c r="L50" i="60"/>
  <c r="K51" i="60"/>
  <c r="M38" i="64"/>
  <c r="M32" i="77"/>
  <c r="M14" i="83"/>
  <c r="L57" i="63"/>
  <c r="M33" i="78"/>
  <c r="M39" i="64"/>
  <c r="H51" i="60"/>
  <c r="L41" i="66"/>
  <c r="M35" i="85"/>
  <c r="M40" i="79"/>
  <c r="L10" i="62"/>
  <c r="L38" i="62"/>
  <c r="F47" i="62"/>
  <c r="M48" i="63"/>
  <c r="M13" i="71"/>
  <c r="L51" i="84"/>
  <c r="M35" i="68"/>
  <c r="I51" i="75"/>
  <c r="L51" i="80"/>
  <c r="I26" i="82"/>
  <c r="L51" i="69"/>
  <c r="M23" i="63"/>
  <c r="L51" i="81"/>
  <c r="I26" i="75"/>
  <c r="F15" i="60"/>
  <c r="L15" i="60"/>
  <c r="L22" i="60"/>
  <c r="L24" i="60"/>
  <c r="I34" i="60"/>
  <c r="L35" i="60"/>
  <c r="F48" i="60"/>
  <c r="M37" i="71"/>
  <c r="M34" i="81"/>
  <c r="I10" i="62"/>
  <c r="F13" i="62"/>
  <c r="F15" i="62"/>
  <c r="F37" i="62"/>
  <c r="K57" i="62"/>
  <c r="M39" i="66"/>
  <c r="M34" i="67"/>
  <c r="M32" i="63"/>
  <c r="M32" i="64"/>
  <c r="M9" i="64"/>
  <c r="M33" i="64"/>
  <c r="M11" i="65"/>
  <c r="M13" i="66"/>
  <c r="M35" i="66"/>
  <c r="F26" i="73"/>
  <c r="G41" i="62"/>
  <c r="L32" i="62"/>
  <c r="L36" i="62"/>
  <c r="G51" i="62"/>
  <c r="L47" i="62"/>
  <c r="M35" i="65"/>
  <c r="M37" i="66"/>
  <c r="I51" i="68"/>
  <c r="L51" i="72"/>
  <c r="M9" i="71"/>
  <c r="M34" i="63"/>
  <c r="M24" i="63"/>
  <c r="M25" i="63"/>
  <c r="M24" i="64"/>
  <c r="M36" i="64"/>
  <c r="M49" i="66"/>
  <c r="L7" i="61"/>
  <c r="I26" i="63"/>
  <c r="M22" i="83"/>
  <c r="M25" i="88"/>
  <c r="F13" i="60"/>
  <c r="M31" i="66"/>
  <c r="M39" i="87"/>
  <c r="M9" i="87"/>
  <c r="M13" i="64"/>
  <c r="M37" i="64"/>
  <c r="M48" i="64"/>
  <c r="M40" i="64"/>
  <c r="M10" i="64"/>
  <c r="M12" i="65"/>
  <c r="M50" i="65"/>
  <c r="M7" i="65"/>
  <c r="F41" i="72"/>
  <c r="F16" i="66"/>
  <c r="I16" i="66"/>
  <c r="M12" i="66"/>
  <c r="M13" i="78"/>
  <c r="M11" i="78"/>
  <c r="L51" i="76"/>
  <c r="L16" i="76"/>
  <c r="F16" i="77"/>
  <c r="L41" i="75"/>
  <c r="M10" i="78"/>
  <c r="M34" i="64"/>
  <c r="M11" i="64"/>
  <c r="M32" i="68"/>
  <c r="M15" i="64"/>
  <c r="M49" i="65"/>
  <c r="M22" i="77"/>
  <c r="M38" i="84"/>
  <c r="F51" i="72"/>
  <c r="L51" i="71"/>
  <c r="L51" i="65"/>
  <c r="M23" i="77"/>
  <c r="H41" i="61"/>
  <c r="I16" i="63"/>
  <c r="M34" i="66"/>
  <c r="I41" i="69"/>
  <c r="L16" i="67"/>
  <c r="M33" i="66"/>
  <c r="I15" i="61"/>
  <c r="L36" i="61"/>
  <c r="L38" i="61"/>
  <c r="M23" i="64"/>
  <c r="M47" i="64"/>
  <c r="M32" i="66"/>
  <c r="M22" i="66"/>
  <c r="I26" i="66"/>
  <c r="L41" i="68"/>
  <c r="M35" i="67"/>
  <c r="M37" i="77"/>
  <c r="M36" i="78"/>
  <c r="L41" i="79"/>
  <c r="M49" i="78"/>
  <c r="F51" i="70"/>
  <c r="L41" i="70"/>
  <c r="M7" i="78"/>
  <c r="I41" i="87"/>
  <c r="M25" i="66"/>
  <c r="M22" i="64"/>
  <c r="D51" i="61"/>
  <c r="K26" i="62"/>
  <c r="H41" i="62"/>
  <c r="F16" i="65"/>
  <c r="L26" i="72"/>
  <c r="M23" i="70"/>
  <c r="L51" i="79"/>
  <c r="M35" i="78"/>
  <c r="I16" i="86"/>
  <c r="L41" i="85"/>
  <c r="M10" i="84"/>
  <c r="I41" i="88"/>
  <c r="M8" i="63"/>
  <c r="L26" i="70"/>
  <c r="I26" i="70"/>
  <c r="M22" i="78"/>
  <c r="L51" i="64"/>
  <c r="M48" i="66"/>
  <c r="M13" i="75"/>
  <c r="L51" i="75"/>
  <c r="I51" i="82"/>
  <c r="L57" i="80"/>
  <c r="M15" i="63"/>
  <c r="I16" i="65"/>
  <c r="F16" i="69"/>
  <c r="M11" i="66"/>
  <c r="L26" i="75"/>
  <c r="M23" i="66"/>
  <c r="L26" i="65"/>
  <c r="L26" i="73"/>
  <c r="L26" i="69"/>
  <c r="M15" i="72"/>
  <c r="L16" i="83"/>
  <c r="L26" i="74"/>
  <c r="M11" i="71"/>
  <c r="L26" i="68"/>
  <c r="M11" i="63"/>
  <c r="L16" i="84"/>
  <c r="L23" i="61"/>
  <c r="L16" i="85"/>
  <c r="F9" i="60"/>
  <c r="J26" i="60"/>
  <c r="I26" i="77"/>
  <c r="F16" i="63"/>
  <c r="L51" i="63"/>
  <c r="M33" i="63"/>
  <c r="I51" i="64"/>
  <c r="I16" i="64"/>
  <c r="M49" i="64"/>
  <c r="M25" i="64"/>
  <c r="L41" i="64"/>
  <c r="M50" i="66"/>
  <c r="I41" i="70"/>
  <c r="M7" i="73"/>
  <c r="M38" i="74"/>
  <c r="M9" i="74"/>
  <c r="L16" i="78"/>
  <c r="I51" i="83"/>
  <c r="M13" i="82"/>
  <c r="I51" i="86"/>
  <c r="I26" i="84"/>
  <c r="M7" i="88"/>
  <c r="M34" i="88"/>
  <c r="L16" i="71"/>
  <c r="M10" i="72"/>
  <c r="M10" i="79"/>
  <c r="M36" i="77"/>
  <c r="M47" i="63"/>
  <c r="M22" i="68"/>
  <c r="I16" i="67"/>
  <c r="L16" i="86"/>
  <c r="M8" i="64"/>
  <c r="L41" i="72"/>
  <c r="M48" i="68"/>
  <c r="M9" i="78"/>
  <c r="M8" i="78"/>
  <c r="F11" i="61"/>
  <c r="L11" i="61"/>
  <c r="L24" i="61"/>
  <c r="M14" i="64"/>
  <c r="M23" i="65"/>
  <c r="I41" i="72"/>
  <c r="M8" i="66"/>
  <c r="M15" i="66"/>
  <c r="M38" i="77"/>
  <c r="L14" i="60"/>
  <c r="E26" i="60"/>
  <c r="K26" i="60"/>
  <c r="H26" i="60"/>
  <c r="H41" i="60"/>
  <c r="L32" i="60"/>
  <c r="F34" i="60"/>
  <c r="L38" i="60"/>
  <c r="L40" i="60"/>
  <c r="L49" i="60"/>
  <c r="G26" i="61"/>
  <c r="M12" i="63"/>
  <c r="M12" i="64"/>
  <c r="L51" i="67"/>
  <c r="I51" i="69"/>
  <c r="M15" i="68"/>
  <c r="M24" i="66"/>
  <c r="L41" i="78"/>
  <c r="M11" i="79"/>
  <c r="F41" i="86"/>
  <c r="G26" i="60"/>
  <c r="D51" i="60"/>
  <c r="E41" i="61"/>
  <c r="M6" i="82"/>
  <c r="M7" i="66"/>
  <c r="M24" i="78"/>
  <c r="I26" i="78"/>
  <c r="I16" i="72"/>
  <c r="M24" i="88"/>
  <c r="L26" i="88"/>
  <c r="M23" i="88"/>
  <c r="M37" i="88"/>
  <c r="M33" i="88"/>
  <c r="M38" i="88"/>
  <c r="M9" i="88"/>
  <c r="M36" i="88"/>
  <c r="M14" i="88"/>
  <c r="I16" i="87"/>
  <c r="I51" i="87"/>
  <c r="I26" i="87"/>
  <c r="M14" i="87"/>
  <c r="L51" i="87"/>
  <c r="L41" i="87"/>
  <c r="L26" i="87"/>
  <c r="M34" i="87"/>
  <c r="M22" i="87"/>
  <c r="M35" i="87"/>
  <c r="M47" i="87"/>
  <c r="M25" i="87"/>
  <c r="M38" i="87"/>
  <c r="M50" i="87"/>
  <c r="M15" i="87"/>
  <c r="M37" i="87"/>
  <c r="M23" i="87"/>
  <c r="M24" i="87"/>
  <c r="M33" i="87"/>
  <c r="L26" i="86"/>
  <c r="L41" i="86"/>
  <c r="M40" i="86"/>
  <c r="L57" i="86"/>
  <c r="M22" i="86"/>
  <c r="M24" i="86"/>
  <c r="M49" i="85"/>
  <c r="M10" i="85"/>
  <c r="M15" i="85"/>
  <c r="M48" i="85"/>
  <c r="M37" i="85"/>
  <c r="M14" i="85"/>
  <c r="M24" i="85"/>
  <c r="I26" i="85"/>
  <c r="M33" i="85"/>
  <c r="M13" i="85"/>
  <c r="M34" i="85"/>
  <c r="L57" i="85"/>
  <c r="M39" i="85"/>
  <c r="L41" i="84"/>
  <c r="L26" i="84"/>
  <c r="M48" i="84"/>
  <c r="M50" i="84"/>
  <c r="M40" i="84"/>
  <c r="M37" i="84"/>
  <c r="M36" i="84"/>
  <c r="M33" i="84"/>
  <c r="M34" i="84"/>
  <c r="L41" i="83"/>
  <c r="L57" i="83"/>
  <c r="L26" i="83"/>
  <c r="I41" i="83"/>
  <c r="M32" i="83"/>
  <c r="M49" i="83"/>
  <c r="M36" i="83"/>
  <c r="M13" i="83"/>
  <c r="M33" i="83"/>
  <c r="M24" i="83"/>
  <c r="M23" i="83"/>
  <c r="M11" i="83"/>
  <c r="M47" i="83"/>
  <c r="M35" i="83"/>
  <c r="M34" i="83"/>
  <c r="F41" i="83"/>
  <c r="M25" i="83"/>
  <c r="M50" i="83"/>
  <c r="M48" i="83"/>
  <c r="M8" i="83"/>
  <c r="M31" i="83"/>
  <c r="M15" i="83"/>
  <c r="M40" i="83"/>
  <c r="M39" i="83"/>
  <c r="M12" i="83"/>
  <c r="M37" i="83"/>
  <c r="M10" i="83"/>
  <c r="M38" i="83"/>
  <c r="L51" i="82"/>
  <c r="M49" i="82"/>
  <c r="M48" i="82"/>
  <c r="I16" i="82"/>
  <c r="I41" i="82"/>
  <c r="M35" i="82"/>
  <c r="M47" i="82"/>
  <c r="M33" i="82"/>
  <c r="M25" i="82"/>
  <c r="M40" i="82"/>
  <c r="M11" i="82"/>
  <c r="M7" i="82"/>
  <c r="L57" i="82"/>
  <c r="M23" i="82"/>
  <c r="M34" i="82"/>
  <c r="M14" i="82"/>
  <c r="M24" i="82"/>
  <c r="M37" i="82"/>
  <c r="L41" i="82"/>
  <c r="M38" i="82"/>
  <c r="M50" i="82"/>
  <c r="M39" i="82"/>
  <c r="L41" i="81"/>
  <c r="I41" i="81"/>
  <c r="I51" i="81"/>
  <c r="M24" i="81"/>
  <c r="M23" i="81"/>
  <c r="M8" i="81"/>
  <c r="M37" i="81"/>
  <c r="M9" i="81"/>
  <c r="M48" i="81"/>
  <c r="M25" i="81"/>
  <c r="M49" i="81"/>
  <c r="M36" i="81"/>
  <c r="M37" i="80"/>
  <c r="M23" i="80"/>
  <c r="M7" i="80"/>
  <c r="L26" i="80"/>
  <c r="L41" i="80"/>
  <c r="M47" i="80"/>
  <c r="I26" i="80"/>
  <c r="F41" i="80"/>
  <c r="M33" i="80"/>
  <c r="M13" i="80"/>
  <c r="M39" i="80"/>
  <c r="M31" i="80"/>
  <c r="M50" i="80"/>
  <c r="M25" i="77"/>
  <c r="M35" i="77"/>
  <c r="L41" i="77"/>
  <c r="M15" i="77"/>
  <c r="M13" i="77"/>
  <c r="M49" i="77"/>
  <c r="L57" i="77"/>
  <c r="M24" i="77"/>
  <c r="M33" i="77"/>
  <c r="M48" i="77"/>
  <c r="M9" i="77"/>
  <c r="M39" i="77"/>
  <c r="L51" i="77"/>
  <c r="M34" i="77"/>
  <c r="M40" i="77"/>
  <c r="M12" i="77"/>
  <c r="L26" i="77"/>
  <c r="L16" i="77"/>
  <c r="I41" i="77"/>
  <c r="I16" i="77"/>
  <c r="I51" i="77"/>
  <c r="M8" i="77"/>
  <c r="M50" i="77"/>
  <c r="M14" i="77"/>
  <c r="M10" i="77"/>
  <c r="L41" i="76"/>
  <c r="M13" i="76"/>
  <c r="M24" i="76"/>
  <c r="M37" i="76"/>
  <c r="M15" i="76"/>
  <c r="M14" i="76"/>
  <c r="M22" i="76"/>
  <c r="M34" i="76"/>
  <c r="M10" i="76"/>
  <c r="M7" i="76"/>
  <c r="M9" i="76"/>
  <c r="M40" i="76"/>
  <c r="M32" i="76"/>
  <c r="M25" i="79"/>
  <c r="L16" i="79"/>
  <c r="L57" i="79"/>
  <c r="M14" i="79"/>
  <c r="M50" i="79"/>
  <c r="F41" i="79"/>
  <c r="M24" i="79"/>
  <c r="M49" i="79"/>
  <c r="M9" i="79"/>
  <c r="M35" i="79"/>
  <c r="M39" i="79"/>
  <c r="M12" i="79"/>
  <c r="M33" i="79"/>
  <c r="M15" i="79"/>
  <c r="M8" i="79"/>
  <c r="M38" i="79"/>
  <c r="M13" i="79"/>
  <c r="M32" i="79"/>
  <c r="M37" i="79"/>
  <c r="M36" i="79"/>
  <c r="M23" i="79"/>
  <c r="M7" i="79"/>
  <c r="M48" i="79"/>
  <c r="M34" i="79"/>
  <c r="M39" i="78"/>
  <c r="M34" i="78"/>
  <c r="M32" i="78"/>
  <c r="M12" i="78"/>
  <c r="M15" i="78"/>
  <c r="M23" i="78"/>
  <c r="M38" i="78"/>
  <c r="M14" i="78"/>
  <c r="F16" i="78"/>
  <c r="M6" i="78"/>
  <c r="M25" i="78"/>
  <c r="I16" i="78"/>
  <c r="M34" i="75"/>
  <c r="M32" i="75"/>
  <c r="M31" i="75"/>
  <c r="L41" i="74"/>
  <c r="I26" i="74"/>
  <c r="F41" i="74"/>
  <c r="I51" i="74"/>
  <c r="M49" i="74"/>
  <c r="M40" i="74"/>
  <c r="M50" i="74"/>
  <c r="M36" i="74"/>
  <c r="M24" i="74"/>
  <c r="M13" i="74"/>
  <c r="M22" i="74"/>
  <c r="M34" i="74"/>
  <c r="M33" i="74"/>
  <c r="M15" i="74"/>
  <c r="L41" i="73"/>
  <c r="M34" i="73"/>
  <c r="M22" i="73"/>
  <c r="M13" i="73"/>
  <c r="M33" i="73"/>
  <c r="M38" i="73"/>
  <c r="M9" i="73"/>
  <c r="M24" i="73"/>
  <c r="M15" i="73"/>
  <c r="M47" i="66"/>
  <c r="L51" i="66"/>
  <c r="L16" i="66"/>
  <c r="M14" i="66"/>
  <c r="L57" i="66"/>
  <c r="M10" i="66"/>
  <c r="M13" i="68"/>
  <c r="L16" i="68"/>
  <c r="I41" i="68"/>
  <c r="I16" i="68"/>
  <c r="M38" i="68"/>
  <c r="M39" i="68"/>
  <c r="M33" i="68"/>
  <c r="M25" i="68"/>
  <c r="M11" i="68"/>
  <c r="M12" i="68"/>
  <c r="L57" i="68"/>
  <c r="M49" i="68"/>
  <c r="M9" i="68"/>
  <c r="M50" i="68"/>
  <c r="M24" i="68"/>
  <c r="M23" i="68"/>
  <c r="M10" i="68"/>
  <c r="M14" i="68"/>
  <c r="M34" i="68"/>
  <c r="M40" i="68"/>
  <c r="M37" i="68"/>
  <c r="M36" i="68"/>
  <c r="M6" i="68"/>
  <c r="M8" i="68"/>
  <c r="M35" i="72"/>
  <c r="L16" i="72"/>
  <c r="M50" i="72"/>
  <c r="I26" i="72"/>
  <c r="M34" i="72"/>
  <c r="M7" i="72"/>
  <c r="M48" i="72"/>
  <c r="M47" i="72"/>
  <c r="M25" i="72"/>
  <c r="M9" i="72"/>
  <c r="M33" i="72"/>
  <c r="L56" i="72"/>
  <c r="M22" i="72"/>
  <c r="M11" i="72"/>
  <c r="I51" i="72"/>
  <c r="M38" i="72"/>
  <c r="M23" i="72"/>
  <c r="M13" i="72"/>
  <c r="M14" i="72"/>
  <c r="M37" i="72"/>
  <c r="M40" i="72"/>
  <c r="M31" i="72"/>
  <c r="M49" i="72"/>
  <c r="M24" i="72"/>
  <c r="M12" i="72"/>
  <c r="M36" i="72"/>
  <c r="M8" i="72"/>
  <c r="M32" i="72"/>
  <c r="L57" i="72"/>
  <c r="M39" i="72"/>
  <c r="M47" i="71"/>
  <c r="L26" i="71"/>
  <c r="M50" i="71"/>
  <c r="M34" i="71"/>
  <c r="L41" i="71"/>
  <c r="M49" i="71"/>
  <c r="M24" i="71"/>
  <c r="M39" i="71"/>
  <c r="M38" i="71"/>
  <c r="M23" i="71"/>
  <c r="M15" i="71"/>
  <c r="M33" i="71"/>
  <c r="M25" i="71"/>
  <c r="M22" i="71"/>
  <c r="M32" i="71"/>
  <c r="M22" i="70"/>
  <c r="L51" i="70"/>
  <c r="M48" i="70"/>
  <c r="M9" i="70"/>
  <c r="M7" i="70"/>
  <c r="M6" i="70"/>
  <c r="L41" i="69"/>
  <c r="M34" i="69"/>
  <c r="L16" i="69"/>
  <c r="I16" i="69"/>
  <c r="M24" i="69"/>
  <c r="M22" i="69"/>
  <c r="M31" i="67"/>
  <c r="L41" i="67"/>
  <c r="L26" i="67"/>
  <c r="M10" i="67"/>
  <c r="M36" i="67"/>
  <c r="M25" i="67"/>
  <c r="M15" i="67"/>
  <c r="M39" i="67"/>
  <c r="M24" i="67"/>
  <c r="M32" i="67"/>
  <c r="M37" i="67"/>
  <c r="M23" i="67"/>
  <c r="L57" i="67"/>
  <c r="M9" i="67"/>
  <c r="M33" i="67"/>
  <c r="L16" i="65"/>
  <c r="L41" i="65"/>
  <c r="I51" i="65"/>
  <c r="I41" i="65"/>
  <c r="M22" i="65"/>
  <c r="M40" i="65"/>
  <c r="M47" i="65"/>
  <c r="M33" i="65"/>
  <c r="M36" i="65"/>
  <c r="M48" i="65"/>
  <c r="M9" i="65"/>
  <c r="L57" i="65"/>
  <c r="M8" i="65"/>
  <c r="M13" i="65"/>
  <c r="M39" i="65"/>
  <c r="M14" i="65"/>
  <c r="M38" i="65"/>
  <c r="M15" i="65"/>
  <c r="M37" i="65"/>
  <c r="M24" i="65"/>
  <c r="M10" i="65"/>
  <c r="M32" i="65"/>
  <c r="M25" i="65"/>
  <c r="M34" i="65"/>
  <c r="L26" i="64"/>
  <c r="M35" i="64"/>
  <c r="L16" i="64"/>
  <c r="M7" i="64"/>
  <c r="I26" i="64"/>
  <c r="I41" i="64"/>
  <c r="F41" i="64"/>
  <c r="M50" i="64"/>
  <c r="M40" i="63"/>
  <c r="M39" i="63"/>
  <c r="M7" i="63"/>
  <c r="M50" i="63"/>
  <c r="M38" i="63"/>
  <c r="M37" i="63"/>
  <c r="M13" i="63"/>
  <c r="L16" i="63"/>
  <c r="M35" i="63"/>
  <c r="L41" i="63"/>
  <c r="M22" i="63"/>
  <c r="M49" i="63"/>
  <c r="M10" i="63"/>
  <c r="M9" i="63"/>
  <c r="L11" i="62"/>
  <c r="L13" i="62"/>
  <c r="L15" i="62"/>
  <c r="L22" i="62"/>
  <c r="L24" i="62"/>
  <c r="L31" i="62"/>
  <c r="L35" i="62"/>
  <c r="L37" i="62"/>
  <c r="L39" i="62"/>
  <c r="L48" i="62"/>
  <c r="L8" i="62"/>
  <c r="L14" i="62"/>
  <c r="H16" i="62"/>
  <c r="I12" i="62"/>
  <c r="H26" i="62"/>
  <c r="F9" i="62"/>
  <c r="F31" i="62"/>
  <c r="F35" i="62"/>
  <c r="F39" i="62"/>
  <c r="I32" i="62"/>
  <c r="I36" i="62"/>
  <c r="I50" i="62"/>
  <c r="H56" i="62"/>
  <c r="I14" i="62"/>
  <c r="I23" i="62"/>
  <c r="I38" i="62"/>
  <c r="I40" i="62"/>
  <c r="I9" i="62"/>
  <c r="I11" i="62"/>
  <c r="I34" i="62"/>
  <c r="I48" i="62"/>
  <c r="I7" i="62"/>
  <c r="I13" i="62"/>
  <c r="I15" i="62"/>
  <c r="I22" i="62"/>
  <c r="I24" i="62"/>
  <c r="I37" i="62"/>
  <c r="I39" i="62"/>
  <c r="H57" i="62"/>
  <c r="F24" i="62"/>
  <c r="F10" i="62"/>
  <c r="F12" i="62"/>
  <c r="F14" i="62"/>
  <c r="F25" i="62"/>
  <c r="F49" i="62"/>
  <c r="F8" i="62"/>
  <c r="E57" i="62"/>
  <c r="J41" i="62"/>
  <c r="L7" i="62"/>
  <c r="I33" i="62"/>
  <c r="I35" i="62"/>
  <c r="I47" i="62"/>
  <c r="I21" i="62"/>
  <c r="I8" i="62"/>
  <c r="F23" i="62"/>
  <c r="F33" i="62"/>
  <c r="P26" i="62"/>
  <c r="F7" i="62"/>
  <c r="F11" i="62"/>
  <c r="L10" i="61"/>
  <c r="L14" i="61"/>
  <c r="L21" i="61"/>
  <c r="L49" i="61"/>
  <c r="L22" i="61"/>
  <c r="L35" i="61"/>
  <c r="L39" i="61"/>
  <c r="I39" i="61"/>
  <c r="I11" i="61"/>
  <c r="I13" i="61"/>
  <c r="I47" i="61"/>
  <c r="I49" i="61"/>
  <c r="F14" i="61"/>
  <c r="F23" i="61"/>
  <c r="F7" i="61"/>
  <c r="F9" i="61"/>
  <c r="F13" i="61"/>
  <c r="F22" i="61"/>
  <c r="F31" i="61"/>
  <c r="F33" i="61"/>
  <c r="F35" i="61"/>
  <c r="F37" i="61"/>
  <c r="F39" i="61"/>
  <c r="F48" i="61"/>
  <c r="J26" i="61"/>
  <c r="I6" i="61"/>
  <c r="I32" i="61"/>
  <c r="I34" i="61"/>
  <c r="I36" i="61"/>
  <c r="I38" i="61"/>
  <c r="I40" i="61"/>
  <c r="H56" i="61"/>
  <c r="I10" i="61"/>
  <c r="I14" i="61"/>
  <c r="I25" i="61"/>
  <c r="I48" i="61"/>
  <c r="I50" i="61"/>
  <c r="H57" i="61"/>
  <c r="I9" i="61"/>
  <c r="I23" i="61"/>
  <c r="I33" i="61"/>
  <c r="I35" i="61"/>
  <c r="I37" i="61"/>
  <c r="E57" i="61"/>
  <c r="F24" i="61"/>
  <c r="F32" i="61"/>
  <c r="F36" i="61"/>
  <c r="F40" i="61"/>
  <c r="F50" i="61"/>
  <c r="P26" i="61"/>
  <c r="L58" i="61" s="1"/>
  <c r="D41" i="61"/>
  <c r="F10" i="61"/>
  <c r="D26" i="61"/>
  <c r="F25" i="61"/>
  <c r="F34" i="61"/>
  <c r="F38" i="61"/>
  <c r="L6" i="60"/>
  <c r="L8" i="60"/>
  <c r="L10" i="60"/>
  <c r="L23" i="60"/>
  <c r="L25" i="60"/>
  <c r="L34" i="60"/>
  <c r="L36" i="60"/>
  <c r="L47" i="60"/>
  <c r="L7" i="60"/>
  <c r="L11" i="60"/>
  <c r="L13" i="60"/>
  <c r="L33" i="60"/>
  <c r="L39" i="60"/>
  <c r="K57" i="60"/>
  <c r="I9" i="60"/>
  <c r="I13" i="60"/>
  <c r="I7" i="60"/>
  <c r="I11" i="60"/>
  <c r="I15" i="60"/>
  <c r="I22" i="60"/>
  <c r="I24" i="60"/>
  <c r="I31" i="60"/>
  <c r="I33" i="60"/>
  <c r="I35" i="60"/>
  <c r="I37" i="60"/>
  <c r="I50" i="60"/>
  <c r="I6" i="60"/>
  <c r="I8" i="60"/>
  <c r="I10" i="60"/>
  <c r="I14" i="60"/>
  <c r="I23" i="60"/>
  <c r="I25" i="60"/>
  <c r="I32" i="60"/>
  <c r="I36" i="60"/>
  <c r="I38" i="60"/>
  <c r="I40" i="60"/>
  <c r="F8" i="60"/>
  <c r="F40" i="60"/>
  <c r="F49" i="60"/>
  <c r="F38" i="60"/>
  <c r="E65" i="60"/>
  <c r="L65" i="60" s="1"/>
  <c r="F37" i="60"/>
  <c r="L48" i="60"/>
  <c r="I48" i="60"/>
  <c r="G51" i="60"/>
  <c r="H56" i="60"/>
  <c r="F11" i="60"/>
  <c r="F35" i="60"/>
  <c r="P26" i="60"/>
  <c r="L58" i="60" s="1"/>
  <c r="F50" i="60"/>
  <c r="F32" i="60"/>
  <c r="F36" i="60"/>
  <c r="F31" i="60"/>
  <c r="E57" i="60"/>
  <c r="M35" i="71"/>
  <c r="M39" i="88"/>
  <c r="M35" i="88"/>
  <c r="I51" i="88"/>
  <c r="M48" i="88"/>
  <c r="L16" i="87"/>
  <c r="M31" i="86"/>
  <c r="M38" i="85"/>
  <c r="M25" i="85"/>
  <c r="I41" i="84"/>
  <c r="I16" i="84"/>
  <c r="I16" i="83"/>
  <c r="M22" i="82"/>
  <c r="F41" i="81"/>
  <c r="L56" i="88"/>
  <c r="I26" i="88"/>
  <c r="M11" i="88"/>
  <c r="F26" i="87"/>
  <c r="M21" i="87"/>
  <c r="M15" i="88"/>
  <c r="M6" i="87"/>
  <c r="M12" i="87"/>
  <c r="M11" i="87"/>
  <c r="F41" i="88"/>
  <c r="M31" i="88"/>
  <c r="L51" i="88"/>
  <c r="L57" i="88"/>
  <c r="M32" i="87"/>
  <c r="M40" i="87"/>
  <c r="L56" i="87"/>
  <c r="M10" i="88"/>
  <c r="M13" i="88"/>
  <c r="M8" i="87"/>
  <c r="M7" i="87"/>
  <c r="F51" i="88"/>
  <c r="M46" i="88"/>
  <c r="M6" i="88"/>
  <c r="F41" i="87"/>
  <c r="M31" i="87"/>
  <c r="M50" i="88"/>
  <c r="M22" i="88"/>
  <c r="M46" i="87"/>
  <c r="F51" i="87"/>
  <c r="M12" i="88"/>
  <c r="M10" i="87"/>
  <c r="L41" i="88"/>
  <c r="M47" i="88"/>
  <c r="M40" i="88"/>
  <c r="M32" i="88"/>
  <c r="M49" i="88"/>
  <c r="M21" i="88"/>
  <c r="F26" i="88"/>
  <c r="M36" i="87"/>
  <c r="M48" i="87"/>
  <c r="M49" i="87"/>
  <c r="L57" i="87"/>
  <c r="F16" i="87"/>
  <c r="M13" i="87"/>
  <c r="M32" i="86"/>
  <c r="I51" i="85"/>
  <c r="M6" i="85"/>
  <c r="F16" i="85"/>
  <c r="M23" i="86"/>
  <c r="M21" i="84"/>
  <c r="F26" i="84"/>
  <c r="M34" i="86"/>
  <c r="M10" i="86"/>
  <c r="F16" i="86"/>
  <c r="M6" i="86"/>
  <c r="M22" i="85"/>
  <c r="M48" i="86"/>
  <c r="L56" i="86"/>
  <c r="M21" i="85"/>
  <c r="F26" i="85"/>
  <c r="L56" i="84"/>
  <c r="M49" i="84"/>
  <c r="M22" i="84"/>
  <c r="M7" i="84"/>
  <c r="I16" i="85"/>
  <c r="M8" i="85"/>
  <c r="M35" i="84"/>
  <c r="M39" i="84"/>
  <c r="I41" i="86"/>
  <c r="L56" i="85"/>
  <c r="M50" i="86"/>
  <c r="I26" i="86"/>
  <c r="M35" i="86"/>
  <c r="M15" i="86"/>
  <c r="L51" i="85"/>
  <c r="M49" i="86"/>
  <c r="M37" i="86"/>
  <c r="M13" i="86"/>
  <c r="M32" i="85"/>
  <c r="M12" i="85"/>
  <c r="M47" i="84"/>
  <c r="M15" i="84"/>
  <c r="M25" i="84"/>
  <c r="M8" i="86"/>
  <c r="L57" i="84"/>
  <c r="M31" i="84"/>
  <c r="M13" i="84"/>
  <c r="F16" i="84"/>
  <c r="M6" i="84"/>
  <c r="M46" i="86"/>
  <c r="F51" i="86"/>
  <c r="M39" i="86"/>
  <c r="M12" i="86"/>
  <c r="M11" i="86"/>
  <c r="M47" i="86"/>
  <c r="F41" i="85"/>
  <c r="M31" i="85"/>
  <c r="M33" i="86"/>
  <c r="M7" i="86"/>
  <c r="M47" i="85"/>
  <c r="M36" i="85"/>
  <c r="I41" i="85"/>
  <c r="I51" i="84"/>
  <c r="M23" i="84"/>
  <c r="M9" i="85"/>
  <c r="M32" i="84"/>
  <c r="M12" i="84"/>
  <c r="M14" i="84"/>
  <c r="F41" i="84"/>
  <c r="M8" i="84"/>
  <c r="F26" i="86"/>
  <c r="M21" i="86"/>
  <c r="F51" i="85"/>
  <c r="M46" i="85"/>
  <c r="M36" i="86"/>
  <c r="L26" i="85"/>
  <c r="M25" i="86"/>
  <c r="M9" i="86"/>
  <c r="M38" i="86"/>
  <c r="M14" i="86"/>
  <c r="M50" i="85"/>
  <c r="F51" i="84"/>
  <c r="M46" i="84"/>
  <c r="M40" i="85"/>
  <c r="M23" i="85"/>
  <c r="M7" i="85"/>
  <c r="M9" i="84"/>
  <c r="M11" i="85"/>
  <c r="M11" i="84"/>
  <c r="M24" i="84"/>
  <c r="M6" i="77"/>
  <c r="I41" i="76"/>
  <c r="M23" i="76"/>
  <c r="M35" i="76"/>
  <c r="M47" i="79"/>
  <c r="I16" i="79"/>
  <c r="L26" i="79"/>
  <c r="M40" i="78"/>
  <c r="M46" i="83"/>
  <c r="F51" i="83"/>
  <c r="L56" i="83"/>
  <c r="I26" i="83"/>
  <c r="F41" i="82"/>
  <c r="M31" i="82"/>
  <c r="L26" i="82"/>
  <c r="M36" i="82"/>
  <c r="M15" i="82"/>
  <c r="M46" i="81"/>
  <c r="F51" i="81"/>
  <c r="L57" i="81"/>
  <c r="M31" i="81"/>
  <c r="M32" i="82"/>
  <c r="M11" i="81"/>
  <c r="F51" i="80"/>
  <c r="M46" i="80"/>
  <c r="M10" i="82"/>
  <c r="M40" i="81"/>
  <c r="M14" i="81"/>
  <c r="M24" i="80"/>
  <c r="M22" i="80"/>
  <c r="M14" i="80"/>
  <c r="M34" i="80"/>
  <c r="F26" i="83"/>
  <c r="M21" i="83"/>
  <c r="L56" i="82"/>
  <c r="M7" i="83"/>
  <c r="M39" i="81"/>
  <c r="L51" i="83"/>
  <c r="L16" i="82"/>
  <c r="M13" i="81"/>
  <c r="M12" i="82"/>
  <c r="M50" i="81"/>
  <c r="M6" i="81"/>
  <c r="I41" i="80"/>
  <c r="M8" i="82"/>
  <c r="F16" i="82"/>
  <c r="M38" i="81"/>
  <c r="M10" i="81"/>
  <c r="I51" i="80"/>
  <c r="M15" i="80"/>
  <c r="M36" i="80"/>
  <c r="M7" i="81"/>
  <c r="M9" i="80"/>
  <c r="M25" i="80"/>
  <c r="F16" i="83"/>
  <c r="M6" i="83"/>
  <c r="F26" i="82"/>
  <c r="M21" i="82"/>
  <c r="M49" i="80"/>
  <c r="M10" i="80"/>
  <c r="M35" i="80"/>
  <c r="M11" i="80"/>
  <c r="M38" i="80"/>
  <c r="F51" i="82"/>
  <c r="M46" i="82"/>
  <c r="L56" i="81"/>
  <c r="M32" i="81"/>
  <c r="M33" i="81"/>
  <c r="M9" i="82"/>
  <c r="M35" i="81"/>
  <c r="M22" i="81"/>
  <c r="M21" i="80"/>
  <c r="F26" i="80"/>
  <c r="M15" i="81"/>
  <c r="L56" i="80"/>
  <c r="M47" i="81"/>
  <c r="M8" i="80"/>
  <c r="M6" i="80"/>
  <c r="M32" i="80"/>
  <c r="M48" i="80"/>
  <c r="M40" i="80"/>
  <c r="F16" i="79"/>
  <c r="M6" i="79"/>
  <c r="M46" i="79"/>
  <c r="F51" i="79"/>
  <c r="M50" i="78"/>
  <c r="L56" i="79"/>
  <c r="F41" i="78"/>
  <c r="M31" i="78"/>
  <c r="I51" i="79"/>
  <c r="F26" i="79"/>
  <c r="M21" i="79"/>
  <c r="F51" i="78"/>
  <c r="M46" i="78"/>
  <c r="M47" i="78"/>
  <c r="M48" i="78"/>
  <c r="M22" i="79"/>
  <c r="I41" i="78"/>
  <c r="F26" i="78"/>
  <c r="M21" i="78"/>
  <c r="I26" i="79"/>
  <c r="I41" i="79"/>
  <c r="L56" i="78"/>
  <c r="M31" i="79"/>
  <c r="I51" i="78"/>
  <c r="L51" i="78"/>
  <c r="L26" i="78"/>
  <c r="L57" i="78"/>
  <c r="M37" i="78"/>
  <c r="M47" i="74"/>
  <c r="I41" i="74"/>
  <c r="F41" i="66"/>
  <c r="M6" i="66"/>
  <c r="I26" i="68"/>
  <c r="M31" i="71"/>
  <c r="M36" i="71"/>
  <c r="I26" i="71"/>
  <c r="M40" i="71"/>
  <c r="M47" i="77"/>
  <c r="M15" i="75"/>
  <c r="M46" i="73"/>
  <c r="F51" i="73"/>
  <c r="M21" i="73"/>
  <c r="F41" i="77"/>
  <c r="M31" i="77"/>
  <c r="L56" i="77"/>
  <c r="M46" i="76"/>
  <c r="F51" i="76"/>
  <c r="F41" i="76"/>
  <c r="M31" i="76"/>
  <c r="M49" i="76"/>
  <c r="M25" i="76"/>
  <c r="M48" i="76"/>
  <c r="I16" i="76"/>
  <c r="M47" i="76"/>
  <c r="M50" i="75"/>
  <c r="M40" i="75"/>
  <c r="M35" i="75"/>
  <c r="M22" i="75"/>
  <c r="M10" i="75"/>
  <c r="M8" i="76"/>
  <c r="M46" i="74"/>
  <c r="F51" i="74"/>
  <c r="L57" i="74"/>
  <c r="I26" i="73"/>
  <c r="M49" i="75"/>
  <c r="M39" i="73"/>
  <c r="M31" i="73"/>
  <c r="F41" i="73"/>
  <c r="M39" i="74"/>
  <c r="M31" i="74"/>
  <c r="M14" i="74"/>
  <c r="M14" i="73"/>
  <c r="M6" i="74"/>
  <c r="M6" i="73"/>
  <c r="M25" i="73"/>
  <c r="M11" i="74"/>
  <c r="M48" i="73"/>
  <c r="M8" i="73"/>
  <c r="L56" i="76"/>
  <c r="M37" i="75"/>
  <c r="M46" i="77"/>
  <c r="F51" i="77"/>
  <c r="I51" i="76"/>
  <c r="M36" i="76"/>
  <c r="L26" i="76"/>
  <c r="M7" i="77"/>
  <c r="M48" i="75"/>
  <c r="M38" i="75"/>
  <c r="M12" i="76"/>
  <c r="I41" i="73"/>
  <c r="M39" i="75"/>
  <c r="M14" i="75"/>
  <c r="L51" i="74"/>
  <c r="L57" i="75"/>
  <c r="M23" i="75"/>
  <c r="M49" i="73"/>
  <c r="M37" i="73"/>
  <c r="M37" i="74"/>
  <c r="M10" i="74"/>
  <c r="M23" i="74"/>
  <c r="M7" i="75"/>
  <c r="M8" i="74"/>
  <c r="M23" i="73"/>
  <c r="M32" i="74"/>
  <c r="M7" i="74"/>
  <c r="M40" i="73"/>
  <c r="M11" i="73"/>
  <c r="F16" i="76"/>
  <c r="M6" i="76"/>
  <c r="F26" i="75"/>
  <c r="M21" i="75"/>
  <c r="M25" i="75"/>
  <c r="M21" i="74"/>
  <c r="F26" i="74"/>
  <c r="M9" i="75"/>
  <c r="F26" i="77"/>
  <c r="M21" i="77"/>
  <c r="M50" i="76"/>
  <c r="M33" i="76"/>
  <c r="I26" i="76"/>
  <c r="M21" i="76"/>
  <c r="F26" i="76"/>
  <c r="L57" i="76"/>
  <c r="M39" i="76"/>
  <c r="I41" i="75"/>
  <c r="L56" i="74"/>
  <c r="M38" i="76"/>
  <c r="M46" i="75"/>
  <c r="F51" i="75"/>
  <c r="M36" i="75"/>
  <c r="M11" i="76"/>
  <c r="F41" i="75"/>
  <c r="L56" i="75"/>
  <c r="M6" i="75"/>
  <c r="M24" i="75"/>
  <c r="M33" i="75"/>
  <c r="M11" i="75"/>
  <c r="M47" i="75"/>
  <c r="M48" i="74"/>
  <c r="M47" i="73"/>
  <c r="M35" i="73"/>
  <c r="M35" i="74"/>
  <c r="M25" i="74"/>
  <c r="M36" i="73"/>
  <c r="L57" i="73"/>
  <c r="M50" i="73"/>
  <c r="L56" i="73"/>
  <c r="M32" i="73"/>
  <c r="M10" i="73"/>
  <c r="M40" i="67"/>
  <c r="I26" i="67"/>
  <c r="M49" i="67"/>
  <c r="I51" i="70"/>
  <c r="M46" i="72"/>
  <c r="M34" i="70"/>
  <c r="M7" i="71"/>
  <c r="M15" i="70"/>
  <c r="M47" i="69"/>
  <c r="M33" i="69"/>
  <c r="M25" i="70"/>
  <c r="M37" i="70"/>
  <c r="M14" i="70"/>
  <c r="M8" i="70"/>
  <c r="M25" i="69"/>
  <c r="M9" i="69"/>
  <c r="M14" i="69"/>
  <c r="M8" i="69"/>
  <c r="F26" i="72"/>
  <c r="M21" i="72"/>
  <c r="M21" i="71"/>
  <c r="F26" i="71"/>
  <c r="F41" i="70"/>
  <c r="M31" i="70"/>
  <c r="I16" i="71"/>
  <c r="M21" i="70"/>
  <c r="F26" i="70"/>
  <c r="M10" i="71"/>
  <c r="M40" i="70"/>
  <c r="M32" i="70"/>
  <c r="M49" i="70"/>
  <c r="M10" i="70"/>
  <c r="M39" i="69"/>
  <c r="F41" i="69"/>
  <c r="M31" i="69"/>
  <c r="F26" i="69"/>
  <c r="M21" i="69"/>
  <c r="M35" i="70"/>
  <c r="M11" i="70"/>
  <c r="L56" i="69"/>
  <c r="M48" i="69"/>
  <c r="M23" i="69"/>
  <c r="M38" i="69"/>
  <c r="M10" i="69"/>
  <c r="M36" i="69"/>
  <c r="M12" i="69"/>
  <c r="L56" i="71"/>
  <c r="M48" i="71"/>
  <c r="F41" i="71"/>
  <c r="F16" i="71"/>
  <c r="M6" i="71"/>
  <c r="I51" i="71"/>
  <c r="I41" i="71"/>
  <c r="M8" i="71"/>
  <c r="M38" i="70"/>
  <c r="M12" i="71"/>
  <c r="M47" i="70"/>
  <c r="M37" i="69"/>
  <c r="M14" i="71"/>
  <c r="M46" i="70"/>
  <c r="M24" i="70"/>
  <c r="L57" i="70"/>
  <c r="M33" i="70"/>
  <c r="I26" i="69"/>
  <c r="M40" i="69"/>
  <c r="M15" i="69"/>
  <c r="M7" i="69"/>
  <c r="L57" i="69"/>
  <c r="M50" i="69"/>
  <c r="M6" i="69"/>
  <c r="M6" i="72"/>
  <c r="F16" i="72"/>
  <c r="F51" i="71"/>
  <c r="M46" i="71"/>
  <c r="L56" i="70"/>
  <c r="M36" i="70"/>
  <c r="M49" i="69"/>
  <c r="M35" i="69"/>
  <c r="M50" i="70"/>
  <c r="M13" i="70"/>
  <c r="M39" i="70"/>
  <c r="M46" i="69"/>
  <c r="F51" i="69"/>
  <c r="M32" i="69"/>
  <c r="M11" i="69"/>
  <c r="M13" i="69"/>
  <c r="M6" i="67"/>
  <c r="F16" i="67"/>
  <c r="M46" i="68"/>
  <c r="F51" i="68"/>
  <c r="I41" i="67"/>
  <c r="F26" i="67"/>
  <c r="M21" i="67"/>
  <c r="L56" i="67"/>
  <c r="M46" i="67"/>
  <c r="F51" i="67"/>
  <c r="M14" i="67"/>
  <c r="M7" i="67"/>
  <c r="F26" i="68"/>
  <c r="M21" i="68"/>
  <c r="I51" i="67"/>
  <c r="M47" i="67"/>
  <c r="M38" i="67"/>
  <c r="M12" i="67"/>
  <c r="M11" i="67"/>
  <c r="M47" i="68"/>
  <c r="M31" i="68"/>
  <c r="L56" i="68"/>
  <c r="M48" i="67"/>
  <c r="M7" i="68"/>
  <c r="M50" i="67"/>
  <c r="F41" i="67"/>
  <c r="F41" i="68"/>
  <c r="F16" i="68"/>
  <c r="M8" i="67"/>
  <c r="M22" i="67"/>
  <c r="M13" i="67"/>
  <c r="L56" i="66"/>
  <c r="M46" i="66"/>
  <c r="F51" i="66"/>
  <c r="I51" i="66"/>
  <c r="I41" i="66"/>
  <c r="L26" i="66"/>
  <c r="F26" i="66"/>
  <c r="M21" i="66"/>
  <c r="M31" i="65"/>
  <c r="L56" i="65"/>
  <c r="I26" i="65"/>
  <c r="M6" i="65"/>
  <c r="F26" i="65"/>
  <c r="M21" i="65"/>
  <c r="M46" i="65"/>
  <c r="F51" i="65"/>
  <c r="F41" i="65"/>
  <c r="M46" i="64"/>
  <c r="F51" i="64"/>
  <c r="M21" i="64"/>
  <c r="F26" i="64"/>
  <c r="M31" i="64"/>
  <c r="L56" i="64"/>
  <c r="F16" i="64"/>
  <c r="M6" i="64"/>
  <c r="I41" i="63"/>
  <c r="I51" i="63"/>
  <c r="L26" i="63"/>
  <c r="F41" i="63"/>
  <c r="M31" i="63"/>
  <c r="F26" i="63"/>
  <c r="M21" i="63"/>
  <c r="L56" i="63"/>
  <c r="M46" i="63"/>
  <c r="F51" i="63"/>
  <c r="M6" i="63"/>
  <c r="F6" i="62"/>
  <c r="K16" i="62"/>
  <c r="E16" i="62"/>
  <c r="G16" i="62"/>
  <c r="I25" i="62"/>
  <c r="F32" i="62"/>
  <c r="F34" i="62"/>
  <c r="F36" i="62"/>
  <c r="F38" i="62"/>
  <c r="F40" i="62"/>
  <c r="D41" i="62"/>
  <c r="F46" i="62"/>
  <c r="F48" i="62"/>
  <c r="F50" i="62"/>
  <c r="E56" i="62"/>
  <c r="L6" i="62"/>
  <c r="F21" i="62"/>
  <c r="I31" i="62"/>
  <c r="I6" i="62"/>
  <c r="L46" i="62"/>
  <c r="F22" i="62"/>
  <c r="I46" i="62"/>
  <c r="F6" i="61"/>
  <c r="I7" i="61"/>
  <c r="I21" i="61"/>
  <c r="K26" i="61"/>
  <c r="L31" i="61"/>
  <c r="F46" i="61"/>
  <c r="L47" i="61"/>
  <c r="E56" i="61"/>
  <c r="L6" i="61"/>
  <c r="F21" i="61"/>
  <c r="I31" i="61"/>
  <c r="I22" i="61"/>
  <c r="I24" i="61"/>
  <c r="E26" i="61"/>
  <c r="F47" i="61"/>
  <c r="F49" i="61"/>
  <c r="I46" i="61"/>
  <c r="G41" i="60"/>
  <c r="F23" i="60"/>
  <c r="F7" i="60"/>
  <c r="F10" i="60"/>
  <c r="F14" i="60"/>
  <c r="I21" i="60"/>
  <c r="L31" i="60"/>
  <c r="D41" i="60"/>
  <c r="F46" i="60"/>
  <c r="E56" i="60"/>
  <c r="F21" i="60"/>
  <c r="F25" i="60"/>
  <c r="D26" i="60"/>
  <c r="I39" i="60"/>
  <c r="I47" i="60"/>
  <c r="I49" i="60"/>
  <c r="E51" i="60"/>
  <c r="H57" i="60"/>
  <c r="L46" i="60"/>
  <c r="F6" i="60"/>
  <c r="L21" i="60"/>
  <c r="I46" i="60"/>
  <c r="L8" i="58"/>
  <c r="H16" i="58"/>
  <c r="K16" i="58"/>
  <c r="D16" i="58"/>
  <c r="K65" i="58"/>
  <c r="G65" i="58"/>
  <c r="F65" i="58"/>
  <c r="D65" i="58"/>
  <c r="C65" i="58"/>
  <c r="K57" i="58"/>
  <c r="L50" i="58"/>
  <c r="L49" i="58"/>
  <c r="L48" i="58"/>
  <c r="L47" i="58"/>
  <c r="H51" i="58"/>
  <c r="K51" i="58"/>
  <c r="J51" i="58"/>
  <c r="G51" i="58"/>
  <c r="E51" i="58"/>
  <c r="L40" i="58"/>
  <c r="L39" i="58"/>
  <c r="L38" i="58"/>
  <c r="L37" i="58"/>
  <c r="L36" i="58"/>
  <c r="L35" i="58"/>
  <c r="L34" i="58"/>
  <c r="L33" i="58"/>
  <c r="L32" i="58"/>
  <c r="L31" i="58"/>
  <c r="K41" i="58"/>
  <c r="J41" i="58"/>
  <c r="H41" i="58"/>
  <c r="G41" i="58"/>
  <c r="E41" i="58"/>
  <c r="L25" i="58"/>
  <c r="L24" i="58"/>
  <c r="L23" i="58"/>
  <c r="K26" i="58"/>
  <c r="L22" i="58"/>
  <c r="L21" i="58"/>
  <c r="J26" i="58"/>
  <c r="H26" i="58"/>
  <c r="E26" i="58"/>
  <c r="D26" i="58"/>
  <c r="P20" i="58"/>
  <c r="P17" i="58"/>
  <c r="P15" i="58"/>
  <c r="L15" i="58"/>
  <c r="L14" i="58"/>
  <c r="L13" i="58"/>
  <c r="L12" i="58"/>
  <c r="L11" i="58"/>
  <c r="L10" i="58"/>
  <c r="P9" i="58"/>
  <c r="L9" i="58"/>
  <c r="L7" i="58"/>
  <c r="J16" i="58"/>
  <c r="J56" i="56"/>
  <c r="I56" i="56"/>
  <c r="G56" i="56"/>
  <c r="F56" i="56"/>
  <c r="D56" i="56"/>
  <c r="J57" i="56"/>
  <c r="I57" i="56"/>
  <c r="G57" i="56"/>
  <c r="F57" i="56"/>
  <c r="D57" i="56"/>
  <c r="D56" i="8"/>
  <c r="D57" i="8"/>
  <c r="K50" i="56"/>
  <c r="K49" i="56"/>
  <c r="K48" i="56"/>
  <c r="K47" i="56"/>
  <c r="K46" i="56"/>
  <c r="J50" i="56"/>
  <c r="J49" i="56"/>
  <c r="J48" i="56"/>
  <c r="J47" i="56"/>
  <c r="J46" i="56"/>
  <c r="H50" i="56"/>
  <c r="H49" i="56"/>
  <c r="H48" i="56"/>
  <c r="H47" i="56"/>
  <c r="H46" i="56"/>
  <c r="G50" i="56"/>
  <c r="G49" i="56"/>
  <c r="G48" i="56"/>
  <c r="G47" i="56"/>
  <c r="G46" i="56"/>
  <c r="E50" i="56"/>
  <c r="E49" i="56"/>
  <c r="E48" i="56"/>
  <c r="E47" i="56"/>
  <c r="E46" i="56"/>
  <c r="D50" i="56"/>
  <c r="D49" i="56"/>
  <c r="D48" i="56"/>
  <c r="D47" i="56"/>
  <c r="D46" i="56"/>
  <c r="K40" i="56"/>
  <c r="K38" i="56"/>
  <c r="K37" i="56"/>
  <c r="K36" i="56"/>
  <c r="K34" i="56"/>
  <c r="K33" i="56"/>
  <c r="K31" i="56"/>
  <c r="J40" i="56"/>
  <c r="J39" i="56"/>
  <c r="J38" i="56"/>
  <c r="J37" i="56"/>
  <c r="J36" i="56"/>
  <c r="J35" i="56"/>
  <c r="J34" i="56"/>
  <c r="J33" i="56"/>
  <c r="J32" i="56"/>
  <c r="J31" i="56"/>
  <c r="H40" i="56"/>
  <c r="H39" i="56"/>
  <c r="H38" i="56"/>
  <c r="H37" i="56"/>
  <c r="H36" i="56"/>
  <c r="H35" i="56"/>
  <c r="H34" i="56"/>
  <c r="H33" i="56"/>
  <c r="H32" i="56"/>
  <c r="H31" i="56"/>
  <c r="G40" i="56"/>
  <c r="G39" i="56"/>
  <c r="G38" i="56"/>
  <c r="G37" i="56"/>
  <c r="G36" i="56"/>
  <c r="G35" i="56"/>
  <c r="G34" i="56"/>
  <c r="G33" i="56"/>
  <c r="G32" i="56"/>
  <c r="G31" i="56"/>
  <c r="E40" i="56"/>
  <c r="E39" i="56"/>
  <c r="E38" i="56"/>
  <c r="E37" i="56"/>
  <c r="E36" i="56"/>
  <c r="E35" i="56"/>
  <c r="E34" i="56"/>
  <c r="E33" i="56"/>
  <c r="E32" i="56"/>
  <c r="E31" i="56"/>
  <c r="D40" i="56"/>
  <c r="D39" i="56"/>
  <c r="D38" i="56"/>
  <c r="D37" i="56"/>
  <c r="D36" i="56"/>
  <c r="D35" i="56"/>
  <c r="D34" i="56"/>
  <c r="D33" i="56"/>
  <c r="D32" i="56"/>
  <c r="D31" i="56"/>
  <c r="K25" i="56"/>
  <c r="K24" i="56"/>
  <c r="K23" i="56"/>
  <c r="K22" i="56"/>
  <c r="K21" i="56"/>
  <c r="J25" i="56"/>
  <c r="J24" i="56"/>
  <c r="J23" i="56"/>
  <c r="J22" i="56"/>
  <c r="J21" i="56"/>
  <c r="H25" i="56"/>
  <c r="H24" i="56"/>
  <c r="H23" i="56"/>
  <c r="H22" i="56"/>
  <c r="H21" i="56"/>
  <c r="G25" i="56"/>
  <c r="G24" i="56"/>
  <c r="G23" i="56"/>
  <c r="G22" i="56"/>
  <c r="G21" i="56"/>
  <c r="E25" i="56"/>
  <c r="E24" i="56"/>
  <c r="E23" i="56"/>
  <c r="E22" i="56"/>
  <c r="E21" i="56"/>
  <c r="D25" i="56"/>
  <c r="D24" i="56"/>
  <c r="D23" i="56"/>
  <c r="D22" i="56"/>
  <c r="D21" i="56"/>
  <c r="K15" i="56"/>
  <c r="K14" i="56"/>
  <c r="K13" i="56"/>
  <c r="K11" i="56"/>
  <c r="K10" i="56"/>
  <c r="K7" i="56"/>
  <c r="K6" i="56"/>
  <c r="J15" i="56"/>
  <c r="J14" i="56"/>
  <c r="J13" i="56"/>
  <c r="J11" i="56"/>
  <c r="J10" i="56"/>
  <c r="J7" i="56"/>
  <c r="J6" i="56"/>
  <c r="H15" i="56"/>
  <c r="H14" i="56"/>
  <c r="H13" i="56"/>
  <c r="H11" i="56"/>
  <c r="H10" i="56"/>
  <c r="H9" i="56"/>
  <c r="H7" i="56"/>
  <c r="H6" i="56"/>
  <c r="G15" i="56"/>
  <c r="G14" i="56"/>
  <c r="G13" i="56"/>
  <c r="G11" i="56"/>
  <c r="G10" i="56"/>
  <c r="G7" i="56"/>
  <c r="G6" i="56"/>
  <c r="D15" i="56"/>
  <c r="E15" i="56"/>
  <c r="E14" i="56"/>
  <c r="D14" i="56"/>
  <c r="D13" i="56"/>
  <c r="E13" i="56"/>
  <c r="D11" i="56"/>
  <c r="E11" i="56"/>
  <c r="E10" i="56"/>
  <c r="D10" i="56"/>
  <c r="D9" i="56"/>
  <c r="E9" i="56"/>
  <c r="E7" i="56"/>
  <c r="D7" i="56"/>
  <c r="E6" i="56"/>
  <c r="D6" i="56"/>
  <c r="K65" i="56"/>
  <c r="G65" i="56"/>
  <c r="F65" i="56"/>
  <c r="D65" i="56"/>
  <c r="C65" i="56"/>
  <c r="P20" i="56"/>
  <c r="H58" i="56" s="1"/>
  <c r="P17" i="56"/>
  <c r="E58" i="56" s="1"/>
  <c r="P15" i="56"/>
  <c r="P9" i="56"/>
  <c r="P9" i="8"/>
  <c r="P15" i="8"/>
  <c r="K65" i="8"/>
  <c r="J57" i="8"/>
  <c r="J56" i="8"/>
  <c r="I57" i="8"/>
  <c r="I56" i="8"/>
  <c r="G57" i="8"/>
  <c r="F57" i="8"/>
  <c r="G56" i="8"/>
  <c r="F56" i="8"/>
  <c r="K50" i="8"/>
  <c r="K49" i="8"/>
  <c r="K48" i="8"/>
  <c r="K47" i="8"/>
  <c r="K46" i="8"/>
  <c r="J50" i="8"/>
  <c r="J49" i="8"/>
  <c r="J48" i="8"/>
  <c r="J47" i="8"/>
  <c r="J46" i="8"/>
  <c r="H50" i="8"/>
  <c r="G50" i="8"/>
  <c r="H49" i="8"/>
  <c r="G49" i="8"/>
  <c r="H48" i="8"/>
  <c r="G48" i="8"/>
  <c r="H47" i="8"/>
  <c r="G47" i="8"/>
  <c r="H46" i="8"/>
  <c r="G46" i="8"/>
  <c r="K40" i="8"/>
  <c r="K38" i="8"/>
  <c r="K37" i="8"/>
  <c r="K36" i="8"/>
  <c r="K34" i="8"/>
  <c r="K33" i="8"/>
  <c r="K31" i="8"/>
  <c r="J40" i="8"/>
  <c r="J39" i="8"/>
  <c r="J38" i="8"/>
  <c r="J37" i="8"/>
  <c r="J36" i="8"/>
  <c r="J35" i="8"/>
  <c r="J34" i="8"/>
  <c r="J33" i="8"/>
  <c r="J32" i="8"/>
  <c r="J3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P17" i="8"/>
  <c r="E58" i="8" s="1"/>
  <c r="P20" i="8"/>
  <c r="H58" i="8" s="1"/>
  <c r="K25" i="8"/>
  <c r="K24" i="8"/>
  <c r="K23" i="8"/>
  <c r="K22" i="8"/>
  <c r="K21" i="8"/>
  <c r="J25" i="8"/>
  <c r="J24" i="8"/>
  <c r="J23" i="8"/>
  <c r="J22" i="8"/>
  <c r="J21" i="8"/>
  <c r="H25" i="8"/>
  <c r="G25" i="8"/>
  <c r="H24" i="8"/>
  <c r="G24" i="8"/>
  <c r="H23" i="8"/>
  <c r="G23" i="8"/>
  <c r="H22" i="8"/>
  <c r="G22" i="8"/>
  <c r="H21" i="8"/>
  <c r="G21" i="8"/>
  <c r="D21" i="8"/>
  <c r="J6" i="8"/>
  <c r="K6" i="8"/>
  <c r="J7" i="8"/>
  <c r="K7" i="8"/>
  <c r="J10" i="8"/>
  <c r="K10" i="8"/>
  <c r="J11" i="8"/>
  <c r="K11" i="8"/>
  <c r="J13" i="8"/>
  <c r="K13" i="8"/>
  <c r="J14" i="8"/>
  <c r="K14" i="8"/>
  <c r="J15" i="8"/>
  <c r="K15" i="8"/>
  <c r="G15" i="8"/>
  <c r="G14" i="8"/>
  <c r="G13" i="8"/>
  <c r="G11" i="8"/>
  <c r="G10" i="8"/>
  <c r="G7" i="8"/>
  <c r="G6" i="8"/>
  <c r="L59" i="81" l="1"/>
  <c r="M26" i="81"/>
  <c r="H65" i="56"/>
  <c r="L65" i="61"/>
  <c r="K59" i="62"/>
  <c r="E59" i="62"/>
  <c r="L59" i="80"/>
  <c r="L58" i="62"/>
  <c r="E65" i="58"/>
  <c r="I7" i="58"/>
  <c r="H58" i="58"/>
  <c r="L59" i="83"/>
  <c r="L59" i="79"/>
  <c r="E57" i="58"/>
  <c r="E58" i="58"/>
  <c r="K59" i="61"/>
  <c r="L59" i="71"/>
  <c r="M24" i="60"/>
  <c r="L59" i="68"/>
  <c r="L59" i="75"/>
  <c r="L59" i="63"/>
  <c r="L59" i="64"/>
  <c r="L59" i="77"/>
  <c r="L59" i="72"/>
  <c r="L59" i="74"/>
  <c r="L59" i="78"/>
  <c r="L59" i="87"/>
  <c r="E59" i="60"/>
  <c r="H59" i="61"/>
  <c r="L59" i="65"/>
  <c r="L59" i="85"/>
  <c r="L59" i="69"/>
  <c r="H59" i="62"/>
  <c r="E59" i="61"/>
  <c r="L59" i="70"/>
  <c r="L59" i="82"/>
  <c r="L59" i="86"/>
  <c r="F59" i="8"/>
  <c r="L59" i="66"/>
  <c r="L59" i="67"/>
  <c r="L59" i="73"/>
  <c r="L59" i="76"/>
  <c r="L59" i="84"/>
  <c r="L59" i="88"/>
  <c r="H59" i="60"/>
  <c r="K59" i="60"/>
  <c r="J59" i="8"/>
  <c r="D59" i="8"/>
  <c r="G59" i="56"/>
  <c r="I59" i="56"/>
  <c r="I59" i="8"/>
  <c r="D59" i="56"/>
  <c r="J59" i="56"/>
  <c r="G59" i="8"/>
  <c r="F59" i="56"/>
  <c r="M23" i="62"/>
  <c r="M10" i="61"/>
  <c r="M12" i="62"/>
  <c r="M41" i="66"/>
  <c r="M10" i="60"/>
  <c r="L51" i="62"/>
  <c r="M35" i="61"/>
  <c r="M36" i="60"/>
  <c r="I51" i="60"/>
  <c r="M38" i="60"/>
  <c r="M26" i="77"/>
  <c r="M14" i="60"/>
  <c r="M26" i="66"/>
  <c r="M9" i="60"/>
  <c r="I41" i="60"/>
  <c r="L41" i="60"/>
  <c r="M34" i="60"/>
  <c r="L57" i="61"/>
  <c r="I26" i="60"/>
  <c r="M51" i="63"/>
  <c r="M26" i="64"/>
  <c r="M51" i="66"/>
  <c r="F41" i="60"/>
  <c r="M22" i="60"/>
  <c r="L51" i="60"/>
  <c r="M26" i="76"/>
  <c r="M13" i="62"/>
  <c r="M7" i="62"/>
  <c r="M8" i="60"/>
  <c r="M48" i="60"/>
  <c r="M14" i="62"/>
  <c r="L26" i="62"/>
  <c r="P26" i="8"/>
  <c r="L58" i="8" s="1"/>
  <c r="I16" i="62"/>
  <c r="M26" i="87"/>
  <c r="M51" i="85"/>
  <c r="M51" i="84"/>
  <c r="M26" i="83"/>
  <c r="M41" i="83"/>
  <c r="M51" i="83"/>
  <c r="M26" i="82"/>
  <c r="M51" i="82"/>
  <c r="M41" i="77"/>
  <c r="M16" i="77"/>
  <c r="M51" i="79"/>
  <c r="M16" i="79"/>
  <c r="M41" i="79"/>
  <c r="M26" i="78"/>
  <c r="M16" i="78"/>
  <c r="M41" i="75"/>
  <c r="M16" i="66"/>
  <c r="M26" i="68"/>
  <c r="M16" i="68"/>
  <c r="M41" i="68"/>
  <c r="M51" i="68"/>
  <c r="M26" i="72"/>
  <c r="M51" i="72"/>
  <c r="M41" i="72"/>
  <c r="M16" i="72"/>
  <c r="M41" i="71"/>
  <c r="M26" i="71"/>
  <c r="M51" i="69"/>
  <c r="M41" i="67"/>
  <c r="M26" i="65"/>
  <c r="M16" i="65"/>
  <c r="M41" i="65"/>
  <c r="M51" i="65"/>
  <c r="M16" i="64"/>
  <c r="M41" i="64"/>
  <c r="M51" i="64"/>
  <c r="M26" i="63"/>
  <c r="M41" i="63"/>
  <c r="M16" i="63"/>
  <c r="M50" i="62"/>
  <c r="M40" i="62"/>
  <c r="M32" i="62"/>
  <c r="M24" i="62"/>
  <c r="M33" i="62"/>
  <c r="M39" i="62"/>
  <c r="M15" i="62"/>
  <c r="M8" i="62"/>
  <c r="L41" i="62"/>
  <c r="M38" i="62"/>
  <c r="M11" i="62"/>
  <c r="M47" i="62"/>
  <c r="M49" i="62"/>
  <c r="M10" i="62"/>
  <c r="M36" i="62"/>
  <c r="M35" i="62"/>
  <c r="M9" i="62"/>
  <c r="L16" i="62"/>
  <c r="I26" i="62"/>
  <c r="I51" i="62"/>
  <c r="L57" i="62"/>
  <c r="M48" i="62"/>
  <c r="M22" i="62"/>
  <c r="I41" i="62"/>
  <c r="M34" i="62"/>
  <c r="F16" i="62"/>
  <c r="M37" i="62"/>
  <c r="F8" i="58"/>
  <c r="F15" i="58"/>
  <c r="I6" i="58"/>
  <c r="I9" i="58"/>
  <c r="I23" i="58"/>
  <c r="I25" i="58"/>
  <c r="I32" i="58"/>
  <c r="I34" i="58"/>
  <c r="I36" i="58"/>
  <c r="I38" i="58"/>
  <c r="I40" i="58"/>
  <c r="H65" i="58"/>
  <c r="I15" i="58"/>
  <c r="I21" i="58"/>
  <c r="I24" i="58"/>
  <c r="I33" i="58"/>
  <c r="I35" i="58"/>
  <c r="I37" i="58"/>
  <c r="I39" i="58"/>
  <c r="I47" i="58"/>
  <c r="I8" i="58"/>
  <c r="I10" i="58"/>
  <c r="I12" i="58"/>
  <c r="I14" i="58"/>
  <c r="I49" i="58"/>
  <c r="H57" i="58"/>
  <c r="I11" i="58"/>
  <c r="I13" i="58"/>
  <c r="I22" i="58"/>
  <c r="I48" i="58"/>
  <c r="I50" i="58"/>
  <c r="F22" i="58"/>
  <c r="F32" i="58"/>
  <c r="F40" i="58"/>
  <c r="F47" i="58"/>
  <c r="P26" i="58"/>
  <c r="F35" i="58"/>
  <c r="F11" i="58"/>
  <c r="F7" i="58"/>
  <c r="F9" i="58"/>
  <c r="F10" i="58"/>
  <c r="F13" i="58"/>
  <c r="F25" i="58"/>
  <c r="F34" i="58"/>
  <c r="F38" i="58"/>
  <c r="F49" i="58"/>
  <c r="F23" i="58"/>
  <c r="F36" i="58"/>
  <c r="F46" i="58"/>
  <c r="F14" i="58"/>
  <c r="F31" i="58"/>
  <c r="F39" i="58"/>
  <c r="F12" i="58"/>
  <c r="F24" i="58"/>
  <c r="F33" i="58"/>
  <c r="F37" i="58"/>
  <c r="M49" i="61"/>
  <c r="M22" i="61"/>
  <c r="L41" i="61"/>
  <c r="M11" i="61"/>
  <c r="L51" i="61"/>
  <c r="L26" i="61"/>
  <c r="M25" i="61"/>
  <c r="M9" i="61"/>
  <c r="M13" i="61"/>
  <c r="M14" i="61"/>
  <c r="I51" i="61"/>
  <c r="I41" i="61"/>
  <c r="M38" i="61"/>
  <c r="M23" i="61"/>
  <c r="M37" i="61"/>
  <c r="M39" i="61"/>
  <c r="M15" i="61"/>
  <c r="M48" i="61"/>
  <c r="M34" i="61"/>
  <c r="M36" i="61"/>
  <c r="M50" i="61"/>
  <c r="M33" i="61"/>
  <c r="M40" i="61"/>
  <c r="M32" i="61"/>
  <c r="M47" i="61"/>
  <c r="F41" i="61"/>
  <c r="M24" i="61"/>
  <c r="M33" i="60"/>
  <c r="M13" i="60"/>
  <c r="M50" i="60"/>
  <c r="M49" i="60"/>
  <c r="M25" i="60"/>
  <c r="M32" i="60"/>
  <c r="M7" i="60"/>
  <c r="L26" i="60"/>
  <c r="M47" i="60"/>
  <c r="M23" i="60"/>
  <c r="M40" i="60"/>
  <c r="M37" i="60"/>
  <c r="M15" i="60"/>
  <c r="M11" i="60"/>
  <c r="M35" i="60"/>
  <c r="E65" i="56"/>
  <c r="P26" i="56"/>
  <c r="L58" i="56" s="1"/>
  <c r="I9" i="56"/>
  <c r="M41" i="87"/>
  <c r="M41" i="86"/>
  <c r="M51" i="86"/>
  <c r="M16" i="83"/>
  <c r="M16" i="82"/>
  <c r="M26" i="88"/>
  <c r="M51" i="87"/>
  <c r="M41" i="88"/>
  <c r="M51" i="88"/>
  <c r="M16" i="87"/>
  <c r="M41" i="84"/>
  <c r="M26" i="85"/>
  <c r="M16" i="86"/>
  <c r="M16" i="85"/>
  <c r="M41" i="85"/>
  <c r="M16" i="84"/>
  <c r="M26" i="84"/>
  <c r="M26" i="86"/>
  <c r="M41" i="80"/>
  <c r="M26" i="80"/>
  <c r="M51" i="77"/>
  <c r="M26" i="79"/>
  <c r="M41" i="82"/>
  <c r="M51" i="80"/>
  <c r="M41" i="81"/>
  <c r="M51" i="81"/>
  <c r="M51" i="78"/>
  <c r="M41" i="78"/>
  <c r="M51" i="71"/>
  <c r="M51" i="73"/>
  <c r="M26" i="75"/>
  <c r="M51" i="74"/>
  <c r="M41" i="76"/>
  <c r="M41" i="74"/>
  <c r="M51" i="76"/>
  <c r="M51" i="75"/>
  <c r="M26" i="74"/>
  <c r="M26" i="73"/>
  <c r="M16" i="76"/>
  <c r="M41" i="73"/>
  <c r="M26" i="67"/>
  <c r="M16" i="71"/>
  <c r="M26" i="69"/>
  <c r="M51" i="70"/>
  <c r="M41" i="69"/>
  <c r="M41" i="70"/>
  <c r="M16" i="69"/>
  <c r="M26" i="70"/>
  <c r="M51" i="67"/>
  <c r="M16" i="67"/>
  <c r="M31" i="62"/>
  <c r="M46" i="62"/>
  <c r="F51" i="62"/>
  <c r="M25" i="62"/>
  <c r="F41" i="62"/>
  <c r="F26" i="62"/>
  <c r="M21" i="62"/>
  <c r="L56" i="62"/>
  <c r="M6" i="62"/>
  <c r="M31" i="61"/>
  <c r="M7" i="61"/>
  <c r="M6" i="61"/>
  <c r="L56" i="61"/>
  <c r="I26" i="61"/>
  <c r="F26" i="61"/>
  <c r="M21" i="61"/>
  <c r="M46" i="61"/>
  <c r="F51" i="61"/>
  <c r="F26" i="60"/>
  <c r="M21" i="60"/>
  <c r="M46" i="60"/>
  <c r="F51" i="60"/>
  <c r="M6" i="60"/>
  <c r="L57" i="60"/>
  <c r="L56" i="60"/>
  <c r="M39" i="60"/>
  <c r="M31" i="60"/>
  <c r="K56" i="58"/>
  <c r="K59" i="58" s="1"/>
  <c r="H56" i="58"/>
  <c r="E56" i="58"/>
  <c r="F6" i="58"/>
  <c r="L26" i="58"/>
  <c r="L41" i="58"/>
  <c r="D41" i="58"/>
  <c r="F48" i="58"/>
  <c r="F50" i="58"/>
  <c r="D51" i="58"/>
  <c r="G26" i="58"/>
  <c r="L6" i="58"/>
  <c r="L16" i="58" s="1"/>
  <c r="F21" i="58"/>
  <c r="I31" i="58"/>
  <c r="G16" i="58"/>
  <c r="L46" i="58"/>
  <c r="L51" i="58" s="1"/>
  <c r="E16" i="58"/>
  <c r="I46" i="58"/>
  <c r="L36" i="8"/>
  <c r="L40" i="8"/>
  <c r="L32" i="8"/>
  <c r="I32" i="8"/>
  <c r="L40" i="56"/>
  <c r="I50" i="8"/>
  <c r="L48" i="8"/>
  <c r="H56" i="8"/>
  <c r="L50" i="8"/>
  <c r="I10" i="56"/>
  <c r="I32" i="56"/>
  <c r="J51" i="56"/>
  <c r="I46" i="56"/>
  <c r="F50" i="56"/>
  <c r="F48" i="56"/>
  <c r="D51" i="56"/>
  <c r="L36" i="56"/>
  <c r="L32" i="56"/>
  <c r="L39" i="56"/>
  <c r="L35" i="56"/>
  <c r="I40" i="56"/>
  <c r="I38" i="56"/>
  <c r="I37" i="56"/>
  <c r="I34" i="56"/>
  <c r="I33" i="56"/>
  <c r="H41" i="56"/>
  <c r="I36" i="56"/>
  <c r="F37" i="56"/>
  <c r="F33" i="56"/>
  <c r="F40" i="56"/>
  <c r="F36" i="56"/>
  <c r="F32" i="56"/>
  <c r="L21" i="56"/>
  <c r="I24" i="56"/>
  <c r="I23" i="56"/>
  <c r="F25" i="56"/>
  <c r="F22" i="56"/>
  <c r="F24" i="56"/>
  <c r="D26" i="56"/>
  <c r="G26" i="56"/>
  <c r="E41" i="56"/>
  <c r="K41" i="56"/>
  <c r="K51" i="56"/>
  <c r="I36" i="8"/>
  <c r="I40" i="8"/>
  <c r="I48" i="8"/>
  <c r="H56" i="56"/>
  <c r="H26" i="56"/>
  <c r="G41" i="56"/>
  <c r="L33" i="56"/>
  <c r="F35" i="56"/>
  <c r="F38" i="56"/>
  <c r="L38" i="56"/>
  <c r="I39" i="56"/>
  <c r="E51" i="56"/>
  <c r="G51" i="56"/>
  <c r="L48" i="56"/>
  <c r="I49" i="56"/>
  <c r="L50" i="56"/>
  <c r="E57" i="56"/>
  <c r="K57" i="56"/>
  <c r="I21" i="8"/>
  <c r="I23" i="8"/>
  <c r="I25" i="8"/>
  <c r="I47" i="8"/>
  <c r="I49" i="8"/>
  <c r="H57" i="8"/>
  <c r="E26" i="56"/>
  <c r="I22" i="56"/>
  <c r="F23" i="56"/>
  <c r="I25" i="56"/>
  <c r="F31" i="56"/>
  <c r="J41" i="56"/>
  <c r="F34" i="56"/>
  <c r="L34" i="56"/>
  <c r="I35" i="56"/>
  <c r="L37" i="56"/>
  <c r="F39" i="56"/>
  <c r="H51" i="56"/>
  <c r="F47" i="56"/>
  <c r="F49" i="56"/>
  <c r="L49" i="56"/>
  <c r="K56" i="56"/>
  <c r="H57" i="56"/>
  <c r="L10" i="56"/>
  <c r="L23" i="56"/>
  <c r="L14" i="56"/>
  <c r="L25" i="56"/>
  <c r="K26" i="56"/>
  <c r="L24" i="56"/>
  <c r="L7" i="56"/>
  <c r="L23" i="8"/>
  <c r="L9" i="56"/>
  <c r="J26" i="56"/>
  <c r="L24" i="8"/>
  <c r="L15" i="56"/>
  <c r="L13" i="56"/>
  <c r="L11" i="56"/>
  <c r="I15" i="56"/>
  <c r="I14" i="56"/>
  <c r="I13" i="56"/>
  <c r="I11" i="56"/>
  <c r="I7" i="56"/>
  <c r="F15" i="56"/>
  <c r="F14" i="56"/>
  <c r="F13" i="56"/>
  <c r="F11" i="56"/>
  <c r="F10" i="56"/>
  <c r="F9" i="56"/>
  <c r="F7" i="56"/>
  <c r="F6" i="56"/>
  <c r="I21" i="56"/>
  <c r="L31" i="56"/>
  <c r="D41" i="56"/>
  <c r="F46" i="56"/>
  <c r="L47" i="56"/>
  <c r="E56" i="56"/>
  <c r="L6" i="56"/>
  <c r="F21" i="56"/>
  <c r="L22" i="56"/>
  <c r="I31" i="56"/>
  <c r="I47" i="56"/>
  <c r="I6" i="56"/>
  <c r="L46" i="56"/>
  <c r="I48" i="56"/>
  <c r="I50" i="56"/>
  <c r="K56" i="8"/>
  <c r="K57" i="8"/>
  <c r="L34" i="8"/>
  <c r="L38" i="8"/>
  <c r="L25" i="8"/>
  <c r="L39" i="8"/>
  <c r="L9" i="8"/>
  <c r="K51" i="8"/>
  <c r="L15" i="8"/>
  <c r="I34" i="8"/>
  <c r="I38" i="8"/>
  <c r="K41" i="8"/>
  <c r="I22" i="8"/>
  <c r="I24" i="8"/>
  <c r="J26" i="8"/>
  <c r="I31" i="8"/>
  <c r="I33" i="8"/>
  <c r="I35" i="8"/>
  <c r="I37" i="8"/>
  <c r="I39" i="8"/>
  <c r="I46" i="8"/>
  <c r="L46" i="8"/>
  <c r="L49" i="8"/>
  <c r="L47" i="8"/>
  <c r="J51" i="8"/>
  <c r="J41" i="8"/>
  <c r="L33" i="8"/>
  <c r="L37" i="8"/>
  <c r="L35" i="8"/>
  <c r="L31" i="8"/>
  <c r="L14" i="8"/>
  <c r="K26" i="8"/>
  <c r="L13" i="8"/>
  <c r="L6" i="8"/>
  <c r="L11" i="8"/>
  <c r="L21" i="8"/>
  <c r="L22" i="8"/>
  <c r="L10" i="8"/>
  <c r="L7" i="8"/>
  <c r="L65" i="56" l="1"/>
  <c r="L65" i="58"/>
  <c r="M34" i="58"/>
  <c r="E59" i="58"/>
  <c r="L58" i="58"/>
  <c r="K59" i="8"/>
  <c r="K59" i="56"/>
  <c r="L59" i="62"/>
  <c r="H59" i="58"/>
  <c r="L59" i="61"/>
  <c r="E59" i="56"/>
  <c r="L59" i="60"/>
  <c r="H59" i="56"/>
  <c r="H59" i="8"/>
  <c r="M39" i="58"/>
  <c r="I26" i="58"/>
  <c r="M32" i="58"/>
  <c r="I16" i="58"/>
  <c r="M51" i="60"/>
  <c r="M16" i="62"/>
  <c r="M51" i="62"/>
  <c r="M41" i="62"/>
  <c r="M40" i="58"/>
  <c r="M47" i="58"/>
  <c r="M13" i="58"/>
  <c r="M12" i="58"/>
  <c r="M9" i="58"/>
  <c r="M50" i="58"/>
  <c r="M49" i="58"/>
  <c r="M25" i="58"/>
  <c r="F16" i="58"/>
  <c r="F41" i="58"/>
  <c r="M24" i="58"/>
  <c r="M14" i="58"/>
  <c r="M11" i="58"/>
  <c r="L57" i="58"/>
  <c r="M37" i="58"/>
  <c r="M38" i="58"/>
  <c r="M22" i="58"/>
  <c r="M8" i="58"/>
  <c r="M35" i="58"/>
  <c r="M15" i="58"/>
  <c r="M36" i="58"/>
  <c r="M10" i="58"/>
  <c r="I51" i="58"/>
  <c r="M48" i="58"/>
  <c r="I41" i="58"/>
  <c r="M33" i="58"/>
  <c r="M23" i="58"/>
  <c r="M7" i="58"/>
  <c r="M51" i="61"/>
  <c r="M41" i="61"/>
  <c r="M26" i="61"/>
  <c r="M26" i="60"/>
  <c r="M37" i="56"/>
  <c r="M6" i="58"/>
  <c r="M26" i="62"/>
  <c r="M41" i="60"/>
  <c r="L56" i="58"/>
  <c r="M31" i="58"/>
  <c r="F51" i="58"/>
  <c r="F26" i="58"/>
  <c r="M21" i="58"/>
  <c r="M46" i="58"/>
  <c r="M40" i="56"/>
  <c r="M36" i="56"/>
  <c r="M10" i="56"/>
  <c r="M23" i="56"/>
  <c r="M24" i="56"/>
  <c r="M32" i="56"/>
  <c r="M39" i="56"/>
  <c r="M50" i="56"/>
  <c r="M49" i="56"/>
  <c r="M48" i="56"/>
  <c r="M47" i="56"/>
  <c r="L41" i="56"/>
  <c r="M33" i="56"/>
  <c r="I41" i="56"/>
  <c r="F41" i="56"/>
  <c r="M25" i="56"/>
  <c r="I26" i="56"/>
  <c r="M14" i="56"/>
  <c r="M9" i="56"/>
  <c r="J12" i="81"/>
  <c r="K12" i="81"/>
  <c r="M7" i="56"/>
  <c r="M11" i="56"/>
  <c r="M34" i="56"/>
  <c r="J12" i="75"/>
  <c r="K12" i="75"/>
  <c r="M15" i="56"/>
  <c r="L57" i="56"/>
  <c r="M38" i="56"/>
  <c r="M35" i="56"/>
  <c r="L26" i="56"/>
  <c r="M13" i="56"/>
  <c r="L51" i="56"/>
  <c r="M46" i="56"/>
  <c r="F51" i="56"/>
  <c r="M31" i="56"/>
  <c r="I51" i="56"/>
  <c r="M6" i="56"/>
  <c r="F26" i="56"/>
  <c r="M21" i="56"/>
  <c r="L56" i="56"/>
  <c r="M22" i="56"/>
  <c r="L51" i="8"/>
  <c r="L41" i="8"/>
  <c r="L26" i="8"/>
  <c r="L59" i="56" l="1"/>
  <c r="L59" i="58"/>
  <c r="L12" i="75"/>
  <c r="L12" i="81"/>
  <c r="L16" i="81" s="1"/>
  <c r="J12" i="70"/>
  <c r="J12" i="60"/>
  <c r="K12" i="70"/>
  <c r="K16" i="70" s="1"/>
  <c r="K12" i="60"/>
  <c r="K16" i="60" s="1"/>
  <c r="K8" i="88"/>
  <c r="K16" i="88" s="1"/>
  <c r="K8" i="61"/>
  <c r="J8" i="88"/>
  <c r="J8" i="61"/>
  <c r="M51" i="58"/>
  <c r="M41" i="58"/>
  <c r="M26" i="58"/>
  <c r="M16" i="58"/>
  <c r="M51" i="56"/>
  <c r="K8" i="8"/>
  <c r="J12" i="73"/>
  <c r="K12" i="73"/>
  <c r="K16" i="73" s="1"/>
  <c r="J8" i="75"/>
  <c r="K12" i="74"/>
  <c r="K16" i="74" s="1"/>
  <c r="M41" i="56"/>
  <c r="M26" i="56"/>
  <c r="K12" i="56" l="1"/>
  <c r="L12" i="60"/>
  <c r="L16" i="60" s="1"/>
  <c r="J16" i="60"/>
  <c r="K12" i="8"/>
  <c r="K16" i="8" s="1"/>
  <c r="K8" i="75"/>
  <c r="K16" i="75" s="1"/>
  <c r="L8" i="61"/>
  <c r="J12" i="56"/>
  <c r="J12" i="74"/>
  <c r="J16" i="75"/>
  <c r="L12" i="73"/>
  <c r="L16" i="73" s="1"/>
  <c r="J16" i="73"/>
  <c r="K12" i="80"/>
  <c r="K16" i="80" s="1"/>
  <c r="K12" i="61"/>
  <c r="K16" i="61" s="1"/>
  <c r="J12" i="80"/>
  <c r="J12" i="61"/>
  <c r="J16" i="88"/>
  <c r="L8" i="88"/>
  <c r="L16" i="88" s="1"/>
  <c r="L12" i="70"/>
  <c r="L16" i="70" s="1"/>
  <c r="J16" i="70"/>
  <c r="K8" i="56"/>
  <c r="J12" i="8"/>
  <c r="J8" i="56"/>
  <c r="J8" i="8"/>
  <c r="L12" i="8" l="1"/>
  <c r="L12" i="56"/>
  <c r="L12" i="61"/>
  <c r="L16" i="61" s="1"/>
  <c r="K16" i="56"/>
  <c r="L8" i="75"/>
  <c r="L16" i="75" s="1"/>
  <c r="J16" i="61"/>
  <c r="L12" i="80"/>
  <c r="L16" i="80" s="1"/>
  <c r="J16" i="80"/>
  <c r="J16" i="74"/>
  <c r="L12" i="74"/>
  <c r="L16" i="74" s="1"/>
  <c r="L8" i="8"/>
  <c r="J16" i="8"/>
  <c r="L8" i="56"/>
  <c r="J16" i="56"/>
  <c r="C65" i="8"/>
  <c r="D65" i="8"/>
  <c r="F65" i="8"/>
  <c r="G65" i="8"/>
  <c r="L16" i="8" l="1"/>
  <c r="L16" i="56"/>
  <c r="E65" i="8"/>
  <c r="H65" i="8"/>
  <c r="L65" i="8" l="1"/>
  <c r="D12" i="74"/>
  <c r="E12" i="75" l="1"/>
  <c r="H12" i="75"/>
  <c r="G12" i="75"/>
  <c r="D12" i="75"/>
  <c r="G12" i="81"/>
  <c r="D12" i="81"/>
  <c r="H12" i="81"/>
  <c r="E12" i="81"/>
  <c r="E16" i="81" s="1"/>
  <c r="H12" i="56"/>
  <c r="H12" i="74"/>
  <c r="H16" i="74" s="1"/>
  <c r="E12" i="74"/>
  <c r="F12" i="74" s="1"/>
  <c r="G12" i="74"/>
  <c r="I12" i="75" l="1"/>
  <c r="F16" i="74"/>
  <c r="D12" i="73"/>
  <c r="D16" i="73" s="1"/>
  <c r="E12" i="73"/>
  <c r="E16" i="73" s="1"/>
  <c r="I12" i="81"/>
  <c r="I16" i="81" s="1"/>
  <c r="H12" i="73"/>
  <c r="H16" i="73" s="1"/>
  <c r="E12" i="56"/>
  <c r="G12" i="73"/>
  <c r="G16" i="73" s="1"/>
  <c r="F12" i="75"/>
  <c r="I12" i="74"/>
  <c r="I16" i="74" s="1"/>
  <c r="G16" i="74"/>
  <c r="G12" i="80"/>
  <c r="G12" i="61"/>
  <c r="D12" i="80"/>
  <c r="D12" i="61"/>
  <c r="E12" i="80"/>
  <c r="E16" i="80" s="1"/>
  <c r="E12" i="61"/>
  <c r="H12" i="80"/>
  <c r="H12" i="61"/>
  <c r="D8" i="88"/>
  <c r="D8" i="61"/>
  <c r="G8" i="88"/>
  <c r="G8" i="61"/>
  <c r="H8" i="88"/>
  <c r="H8" i="61"/>
  <c r="E8" i="88"/>
  <c r="E16" i="88" s="1"/>
  <c r="E8" i="61"/>
  <c r="D16" i="81"/>
  <c r="F12" i="81"/>
  <c r="D12" i="70"/>
  <c r="D12" i="60"/>
  <c r="G12" i="70"/>
  <c r="G12" i="60"/>
  <c r="H12" i="70"/>
  <c r="H16" i="70" s="1"/>
  <c r="H12" i="60"/>
  <c r="H16" i="60" s="1"/>
  <c r="E12" i="70"/>
  <c r="E16" i="70" s="1"/>
  <c r="E12" i="60"/>
  <c r="E16" i="60" s="1"/>
  <c r="D12" i="56"/>
  <c r="G12" i="56"/>
  <c r="I12" i="56" s="1"/>
  <c r="G12" i="8"/>
  <c r="M12" i="75" l="1"/>
  <c r="E16" i="61"/>
  <c r="F12" i="56"/>
  <c r="M12" i="56" s="1"/>
  <c r="F12" i="61"/>
  <c r="F12" i="73"/>
  <c r="F16" i="73" s="1"/>
  <c r="I12" i="80"/>
  <c r="I16" i="80" s="1"/>
  <c r="I12" i="73"/>
  <c r="I16" i="73" s="1"/>
  <c r="H16" i="61"/>
  <c r="D16" i="60"/>
  <c r="F12" i="60"/>
  <c r="G16" i="61"/>
  <c r="I8" i="61"/>
  <c r="I8" i="88"/>
  <c r="I16" i="88" s="1"/>
  <c r="M12" i="74"/>
  <c r="M16" i="74" s="1"/>
  <c r="G16" i="60"/>
  <c r="I12" i="60"/>
  <c r="I16" i="60" s="1"/>
  <c r="M12" i="81"/>
  <c r="M16" i="81" s="1"/>
  <c r="F16" i="81"/>
  <c r="F8" i="61"/>
  <c r="D16" i="61"/>
  <c r="I12" i="61"/>
  <c r="I12" i="70"/>
  <c r="I16" i="70" s="1"/>
  <c r="G16" i="70"/>
  <c r="F12" i="70"/>
  <c r="D16" i="70"/>
  <c r="F8" i="88"/>
  <c r="D16" i="88"/>
  <c r="F12" i="80"/>
  <c r="D16" i="80"/>
  <c r="M12" i="61" l="1"/>
  <c r="M12" i="73"/>
  <c r="M16" i="73" s="1"/>
  <c r="I16" i="61"/>
  <c r="M12" i="80"/>
  <c r="M16" i="80" s="1"/>
  <c r="F16" i="80"/>
  <c r="F16" i="70"/>
  <c r="M12" i="70"/>
  <c r="M16" i="70" s="1"/>
  <c r="G8" i="75"/>
  <c r="G16" i="75" s="1"/>
  <c r="F16" i="61"/>
  <c r="M8" i="61"/>
  <c r="F16" i="60"/>
  <c r="M12" i="60"/>
  <c r="M16" i="60" s="1"/>
  <c r="F16" i="88"/>
  <c r="M8" i="88"/>
  <c r="M16" i="88" s="1"/>
  <c r="H8" i="56"/>
  <c r="H16" i="56" s="1"/>
  <c r="G8" i="8"/>
  <c r="D8" i="56"/>
  <c r="E8" i="56"/>
  <c r="E16" i="56" s="1"/>
  <c r="E12" i="8"/>
  <c r="M16" i="61" l="1"/>
  <c r="E8" i="75"/>
  <c r="D8" i="75"/>
  <c r="H8" i="75"/>
  <c r="F8" i="56"/>
  <c r="F16" i="56" s="1"/>
  <c r="D16" i="56"/>
  <c r="G8" i="56"/>
  <c r="D8" i="8"/>
  <c r="E8" i="8"/>
  <c r="E6" i="8"/>
  <c r="D6" i="8"/>
  <c r="E24" i="8"/>
  <c r="H8" i="8"/>
  <c r="I8" i="8" s="1"/>
  <c r="F8" i="75" l="1"/>
  <c r="H16" i="75"/>
  <c r="I8" i="75"/>
  <c r="I16" i="75" s="1"/>
  <c r="G16" i="56"/>
  <c r="I8" i="56"/>
  <c r="F6" i="8"/>
  <c r="F8" i="8"/>
  <c r="M8" i="75" l="1"/>
  <c r="M16" i="75" s="1"/>
  <c r="F16" i="75"/>
  <c r="M8" i="56"/>
  <c r="M16" i="56" s="1"/>
  <c r="I16" i="56"/>
  <c r="D7" i="8" l="1"/>
  <c r="E7" i="8"/>
  <c r="H7" i="8"/>
  <c r="I7" i="8" s="1"/>
  <c r="D10" i="8"/>
  <c r="E10" i="8"/>
  <c r="H10" i="8"/>
  <c r="I10" i="8" s="1"/>
  <c r="D14" i="8"/>
  <c r="E14" i="8"/>
  <c r="H14" i="8"/>
  <c r="I14" i="8" s="1"/>
  <c r="D23" i="8"/>
  <c r="E23" i="8"/>
  <c r="D25" i="8"/>
  <c r="E25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6" i="8"/>
  <c r="E46" i="8"/>
  <c r="D47" i="8"/>
  <c r="E47" i="8"/>
  <c r="D48" i="8"/>
  <c r="E48" i="8"/>
  <c r="D49" i="8"/>
  <c r="E49" i="8"/>
  <c r="D50" i="8"/>
  <c r="E50" i="8"/>
  <c r="C56" i="8"/>
  <c r="E56" i="8" l="1"/>
  <c r="C59" i="8"/>
  <c r="E57" i="8"/>
  <c r="L57" i="8" s="1"/>
  <c r="F34" i="8"/>
  <c r="F32" i="8"/>
  <c r="F25" i="8"/>
  <c r="F49" i="8"/>
  <c r="F47" i="8"/>
  <c r="F40" i="8"/>
  <c r="F38" i="8"/>
  <c r="F36" i="8"/>
  <c r="F50" i="8"/>
  <c r="F48" i="8"/>
  <c r="F46" i="8"/>
  <c r="F39" i="8"/>
  <c r="F37" i="8"/>
  <c r="F35" i="8"/>
  <c r="F33" i="8"/>
  <c r="F31" i="8"/>
  <c r="F14" i="8"/>
  <c r="F10" i="8"/>
  <c r="F7" i="8"/>
  <c r="F23" i="8"/>
  <c r="M8" i="8"/>
  <c r="H51" i="8"/>
  <c r="D51" i="8"/>
  <c r="E41" i="8"/>
  <c r="H41" i="8"/>
  <c r="D41" i="8"/>
  <c r="G41" i="8"/>
  <c r="E51" i="8"/>
  <c r="G51" i="8"/>
  <c r="L56" i="8" l="1"/>
  <c r="L59" i="8" s="1"/>
  <c r="E59" i="8"/>
  <c r="M34" i="8"/>
  <c r="M47" i="8"/>
  <c r="M33" i="8"/>
  <c r="M46" i="8"/>
  <c r="M37" i="8"/>
  <c r="M50" i="8"/>
  <c r="M38" i="8"/>
  <c r="M31" i="8"/>
  <c r="M39" i="8"/>
  <c r="M32" i="8"/>
  <c r="M40" i="8"/>
  <c r="M35" i="8"/>
  <c r="M48" i="8"/>
  <c r="M36" i="8"/>
  <c r="M49" i="8"/>
  <c r="M14" i="8"/>
  <c r="M7" i="8"/>
  <c r="M10" i="8"/>
  <c r="M23" i="8"/>
  <c r="M25" i="8"/>
  <c r="I51" i="8"/>
  <c r="F41" i="8"/>
  <c r="F51" i="8"/>
  <c r="I41" i="8"/>
  <c r="H11" i="8"/>
  <c r="I11" i="8" s="1"/>
  <c r="E11" i="8"/>
  <c r="H15" i="8"/>
  <c r="I15" i="8" s="1"/>
  <c r="D11" i="8"/>
  <c r="E9" i="8"/>
  <c r="H6" i="8"/>
  <c r="I6" i="8" s="1"/>
  <c r="M6" i="8" s="1"/>
  <c r="D13" i="8"/>
  <c r="D22" i="8"/>
  <c r="H13" i="8"/>
  <c r="I13" i="8" s="1"/>
  <c r="D15" i="8"/>
  <c r="E21" i="8"/>
  <c r="F21" i="8" s="1"/>
  <c r="M21" i="8" s="1"/>
  <c r="H9" i="8"/>
  <c r="I9" i="8" s="1"/>
  <c r="E15" i="8"/>
  <c r="D9" i="8"/>
  <c r="E13" i="8"/>
  <c r="E22" i="8"/>
  <c r="D24" i="8"/>
  <c r="F24" i="8" s="1"/>
  <c r="M24" i="8" s="1"/>
  <c r="F9" i="8" l="1"/>
  <c r="M9" i="8" s="1"/>
  <c r="F15" i="8"/>
  <c r="M15" i="8" s="1"/>
  <c r="M41" i="8"/>
  <c r="F13" i="8"/>
  <c r="M13" i="8" s="1"/>
  <c r="F22" i="8"/>
  <c r="M22" i="8" s="1"/>
  <c r="M26" i="8" s="1"/>
  <c r="F11" i="8"/>
  <c r="M11" i="8" s="1"/>
  <c r="M51" i="8"/>
  <c r="D26" i="8"/>
  <c r="H26" i="8"/>
  <c r="E26" i="8"/>
  <c r="I26" i="8"/>
  <c r="G26" i="8"/>
  <c r="F26" i="8" l="1"/>
  <c r="D12" i="8" l="1"/>
  <c r="G16" i="8"/>
  <c r="H12" i="8"/>
  <c r="I12" i="8" s="1"/>
  <c r="E16" i="8"/>
  <c r="D16" i="8" l="1"/>
  <c r="F12" i="8"/>
  <c r="M12" i="8" s="1"/>
  <c r="M16" i="8" s="1"/>
  <c r="I16" i="8"/>
  <c r="H16" i="8"/>
  <c r="F16" i="8" l="1"/>
</calcChain>
</file>

<file path=xl/sharedStrings.xml><?xml version="1.0" encoding="utf-8"?>
<sst xmlns="http://schemas.openxmlformats.org/spreadsheetml/2006/main" count="6015" uniqueCount="46">
  <si>
    <t>OG</t>
  </si>
  <si>
    <t>AG</t>
  </si>
  <si>
    <t>Güvenlik</t>
  </si>
  <si>
    <t>Dışsal</t>
  </si>
  <si>
    <t>Şebeke İşletmecisi</t>
  </si>
  <si>
    <t>TABLO-5 KESİNTİ SÜRELERİ VE SIKLIĞI</t>
  </si>
  <si>
    <t>A) OKSÜRE (Bildirimsiz)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</si>
  <si>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</si>
  <si>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</si>
  <si>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</si>
  <si>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</si>
  <si>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</si>
  <si>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</si>
  <si>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</si>
  <si>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</si>
  <si>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</si>
  <si>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</si>
  <si>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</si>
  <si>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</si>
  <si>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</si>
  <si>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</si>
  <si>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B) OKSÜRE (Bildirimli)</t>
  </si>
  <si>
    <t>GENEL TOPLAM İMAR ALANI İÇİ VE DIŞ TÜM KULLANICI SAYISI</t>
  </si>
  <si>
    <t>C) OKSIK (Bildirimsiz)</t>
  </si>
  <si>
    <t>D) OKSIK (Bildirimli)</t>
  </si>
  <si>
    <t>E) OKSIK (Kısa)</t>
  </si>
  <si>
    <t>AÇIKLAMALAR:</t>
  </si>
  <si>
    <t xml:space="preserve">1-Tablo, kullanım yerinin imar alanı içinde veya dışında olmasına göre ve bağlantı noktasının OG veya AG seviyesinde olmasına göre doldurulur. </t>
  </si>
  <si>
    <t>2-İl bazında OKSÜRE ve OKSIK hesabında ilgili ilin kullanıcı sayısı kullanılır.</t>
  </si>
  <si>
    <t>3-Dağıtım bölgesi bazında OKSÜRE ve OKSIK hesabında dağıtım bölgesini kullanıcı sayısı kullanılır (İllerin OKSÜRE ve OKSIK endekslerinin toplamı dağıtım bölgesi OKSÜRE ve OKSIK değeri olarak kullanılmaz).</t>
  </si>
  <si>
    <t>İLETİM</t>
  </si>
  <si>
    <t>F) Göstergelerin Hesaplanmasında Kullanılan Kullanıcı Sayıları</t>
  </si>
  <si>
    <r>
      <t>Kullanıcı Sayıları (U</t>
    </r>
    <r>
      <rPr>
        <b/>
        <vertAlign val="subscript"/>
        <sz val="12"/>
        <color theme="1"/>
        <rFont val="Times New Roman"/>
        <family val="1"/>
        <charset val="162"/>
      </rPr>
      <t>top</t>
    </r>
    <r>
      <rPr>
        <b/>
        <sz val="12"/>
        <color theme="1"/>
        <rFont val="Times New Roman"/>
        <family val="1"/>
        <charset val="162"/>
      </rPr>
      <t>)</t>
    </r>
  </si>
  <si>
    <t>KENTSEL</t>
  </si>
  <si>
    <t>KENTLATI</t>
  </si>
  <si>
    <t>KENTALTI</t>
  </si>
  <si>
    <t>KIRSAL</t>
  </si>
  <si>
    <t>OG VE AG KENTSEL KULLNICILAR TOPLAMI</t>
  </si>
  <si>
    <t>OG VE AG KENTALTI KULLANICILAR TOPLAMI</t>
  </si>
  <si>
    <t>OG VE AG KIRSAL KULLANICILAR TOPLAMI</t>
  </si>
  <si>
    <t>KENTSEL KULLANICILAR</t>
  </si>
  <si>
    <t>KENTLATI KULLANICILAR</t>
  </si>
  <si>
    <t>KIRSAL KULLANICILAR</t>
  </si>
  <si>
    <t>KULLANICILAR</t>
  </si>
  <si>
    <t>SÜRELER DAKİKA CİNSİNDENDİR.</t>
  </si>
  <si>
    <t>y'23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</si>
</sst>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\ #,##0.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7" fillId="0" borderId="0"/>
    <xf numFmtId="164" fontId="28" fillId="0" borderId="0"/>
    <xf numFmtId="0" fontId="29" fillId="0" borderId="0"/>
    <xf numFmtId="0" fontId="20" fillId="0" borderId="0"/>
  </cellStyleXfs>
  <cellXfs count="64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3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5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3" fontId="25" fillId="0" borderId="14" xfId="0" applyNumberFormat="1" applyFont="1" applyBorder="1" applyAlignment="1">
      <alignment horizontal="center" vertical="center" wrapText="1"/>
    </xf>
    <xf numFmtId="0" fontId="24" fillId="0" borderId="0" xfId="42" applyFont="1" applyAlignment="1">
      <alignment horizontal="left" vertical="justify"/>
    </xf>
    <xf numFmtId="0" fontId="24" fillId="0" borderId="0" xfId="42" applyFont="1" applyAlignment="1">
      <alignment horizontal="left"/>
    </xf>
    <xf numFmtId="0" fontId="19" fillId="0" borderId="15" xfId="43" applyBorder="1" applyAlignment="1">
      <alignment horizontal="left" vertical="center"/>
    </xf>
    <xf numFmtId="0" fontId="30" fillId="0" borderId="15" xfId="42" applyFont="1" applyBorder="1"/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0" xfId="42" applyFont="1" applyAlignment="1">
      <alignment horizontal="left" wrapText="1"/>
    </xf>
    <xf numFmtId="0" fontId="21" fillId="0" borderId="0" xfId="42" applyFont="1" applyAlignment="1">
      <alignment horizontal="justify"/>
    </xf>
    <xf numFmtId="0" fontId="23" fillId="0" borderId="22" xfId="42" applyFont="1" applyBorder="1" applyAlignment="1">
      <alignment wrapText="1"/>
    </xf>
    <xf numFmtId="0" fontId="23" fillId="0" borderId="23" xfId="42" applyFont="1" applyBorder="1" applyAlignment="1">
      <alignment horizontal="justify" vertical="top" wrapText="1"/>
    </xf>
    <xf numFmtId="0" fontId="23" fillId="0" borderId="0" xfId="42" applyFont="1" applyAlignment="1">
      <alignment wrapText="1"/>
    </xf>
    <xf numFmtId="0" fontId="23" fillId="0" borderId="0" xfId="42" applyFont="1" applyAlignment="1">
      <alignment horizontal="left"/>
    </xf>
    <xf numFmtId="0" fontId="25" fillId="0" borderId="1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31" fillId="0" borderId="0" xfId="42" applyFont="1"/>
    <xf numFmtId="0" fontId="23" fillId="0" borderId="10" xfId="42" applyFont="1" applyBorder="1" applyAlignment="1">
      <alignment horizontal="center" vertical="top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18" fillId="0" borderId="15" xfId="42" applyBorder="1" applyAlignment="1">
      <alignment horizontal="center" vertical="center"/>
    </xf>
    <xf numFmtId="0" fontId="30" fillId="0" borderId="15" xfId="42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0" fontId="22" fillId="0" borderId="15" xfId="42" applyFont="1" applyBorder="1" applyAlignment="1">
      <alignment horizontal="center" vertical="center" wrapText="1"/>
    </xf>
    <xf numFmtId="3" fontId="22" fillId="0" borderId="24" xfId="42" applyNumberFormat="1" applyFont="1" applyBorder="1" applyAlignment="1">
      <alignment horizontal="center" vertical="center" wrapText="1"/>
    </xf>
    <xf numFmtId="3" fontId="22" fillId="0" borderId="25" xfId="42" applyNumberFormat="1" applyFont="1" applyBorder="1" applyAlignment="1">
      <alignment horizontal="center" vertical="center" wrapText="1"/>
    </xf>
    <xf numFmtId="3" fontId="22" fillId="0" borderId="26" xfId="42" applyNumberFormat="1" applyFont="1" applyBorder="1" applyAlignment="1">
      <alignment horizontal="center" vertical="center" wrapText="1"/>
    </xf>
    <xf numFmtId="3" fontId="22" fillId="0" borderId="24" xfId="42" applyNumberFormat="1" applyFont="1" applyBorder="1" applyAlignment="1">
      <alignment horizontal="center" vertical="center"/>
    </xf>
    <xf numFmtId="3" fontId="22" fillId="0" borderId="25" xfId="42" applyNumberFormat="1" applyFont="1" applyBorder="1" applyAlignment="1">
      <alignment horizontal="center" vertical="center"/>
    </xf>
    <xf numFmtId="3" fontId="22" fillId="0" borderId="26" xfId="42" applyNumberFormat="1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 wrapText="1"/>
    </xf>
    <xf numFmtId="0" fontId="22" fillId="0" borderId="25" xfId="42" applyFont="1" applyBorder="1" applyAlignment="1">
      <alignment horizontal="center" vertical="center" wrapText="1"/>
    </xf>
    <xf numFmtId="0" fontId="22" fillId="0" borderId="26" xfId="42" applyFont="1" applyBorder="1" applyAlignment="1">
      <alignment horizontal="center" vertical="center" wrapText="1"/>
    </xf>
    <xf numFmtId="3" fontId="19" fillId="0" borderId="15" xfId="43" applyNumberForma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4" fillId="0" borderId="0" xfId="42" applyFont="1" applyAlignment="1">
      <alignment horizontal="left" vertical="justify"/>
    </xf>
    <xf numFmtId="0" fontId="24" fillId="0" borderId="0" xfId="42" applyFont="1" applyAlignment="1">
      <alignment horizontal="left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FA9BF0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da.camdere\Desktop\Periyodik%20Yap&#305;lanlar\EBIS\2024\MAYIS\WEBSITE\2024%20May&#305;s%20Tablo-1.xlsx" TargetMode="External"/><Relationship Id="rId1" Type="http://schemas.openxmlformats.org/officeDocument/2006/relationships/externalLinkPath" Target="2024%20May&#305;s%20Tablo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O-1"/>
    </sheetNames>
    <sheetDataSet>
      <sheetData sheetId="0">
        <row r="1">
          <cell r="C1" t="str">
            <v>KESİNTİNİN YERİ (3)</v>
          </cell>
          <cell r="H1" t="str">
            <v>KESİNTİNİN SINIFI (5)</v>
          </cell>
          <cell r="O1" t="str">
            <v>KESİNTİDEN ETKİLENEN KULLANICI SAYISI (9)</v>
          </cell>
        </row>
        <row r="2">
          <cell r="O2" t="str">
            <v>KENTSEL</v>
          </cell>
          <cell r="Q2" t="str">
            <v>KENTALTI</v>
          </cell>
          <cell r="S2" t="str">
            <v>KIRSAL</v>
          </cell>
        </row>
        <row r="3">
          <cell r="C3" t="str">
            <v>İL (3A)</v>
          </cell>
          <cell r="D3" t="str">
            <v>İLÇE (3B)</v>
          </cell>
          <cell r="H3" t="str">
            <v>KAYNAĞA GÖRE (5A)</v>
          </cell>
          <cell r="I3" t="str">
            <v>SÜREYE GÖRE (5B)</v>
          </cell>
          <cell r="K3" t="str">
            <v>BİLDİRİME GÖRE (5D)</v>
          </cell>
          <cell r="O3" t="str">
            <v>OG (9A)</v>
          </cell>
          <cell r="P3" t="str">
            <v>AG (9B)</v>
          </cell>
          <cell r="Q3" t="str">
            <v>OG (9C)</v>
          </cell>
          <cell r="R3" t="str">
            <v>AG (9D)</v>
          </cell>
          <cell r="S3" t="str">
            <v>OG (9E)</v>
          </cell>
          <cell r="T3" t="str">
            <v>AG (9F)</v>
          </cell>
        </row>
        <row r="4">
          <cell r="C4" t="str">
            <v>KIRKLARELİ</v>
          </cell>
          <cell r="D4" t="str">
            <v>KIRKLARELİMERKEZ</v>
          </cell>
          <cell r="H4" t="str">
            <v>Dağıtım-OG</v>
          </cell>
          <cell r="I4" t="str">
            <v>Uzun</v>
          </cell>
          <cell r="J4" t="str">
            <v>Şebeke işletmecisi</v>
          </cell>
          <cell r="K4" t="str">
            <v>Bildirimli</v>
          </cell>
          <cell r="O4">
            <v>0</v>
          </cell>
          <cell r="P4">
            <v>0</v>
          </cell>
          <cell r="Q4">
            <v>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1472.6999999955297</v>
          </cell>
          <cell r="X4">
            <v>0</v>
          </cell>
          <cell r="Y4">
            <v>0</v>
          </cell>
          <cell r="Z4">
            <v>0</v>
          </cell>
        </row>
        <row r="5">
          <cell r="C5" t="str">
            <v>KIRKLARELİ</v>
          </cell>
          <cell r="D5" t="str">
            <v>LÜLEBURGAZ</v>
          </cell>
          <cell r="H5" t="str">
            <v>Dağıtım-OG</v>
          </cell>
          <cell r="I5" t="str">
            <v>Uzun</v>
          </cell>
          <cell r="J5" t="str">
            <v>Şebeke işletmecisi</v>
          </cell>
          <cell r="K5" t="str">
            <v>Bildirimli</v>
          </cell>
          <cell r="O5">
            <v>3</v>
          </cell>
          <cell r="P5">
            <v>6</v>
          </cell>
          <cell r="Q5">
            <v>0</v>
          </cell>
          <cell r="R5">
            <v>223</v>
          </cell>
          <cell r="S5">
            <v>5</v>
          </cell>
          <cell r="T5">
            <v>232</v>
          </cell>
          <cell r="U5">
            <v>1691.9500000029802</v>
          </cell>
          <cell r="V5">
            <v>3383.9000000059605</v>
          </cell>
          <cell r="W5">
            <v>0</v>
          </cell>
          <cell r="X5">
            <v>125768.28333355486</v>
          </cell>
          <cell r="Y5">
            <v>2819.9166666716337</v>
          </cell>
          <cell r="Z5">
            <v>130844.1333335638</v>
          </cell>
        </row>
        <row r="6">
          <cell r="C6" t="str">
            <v>EDİRNE</v>
          </cell>
          <cell r="D6" t="str">
            <v>KEŞAN</v>
          </cell>
          <cell r="H6" t="str">
            <v>Dağıtım-AG</v>
          </cell>
          <cell r="I6" t="str">
            <v>Uzun</v>
          </cell>
          <cell r="J6" t="str">
            <v>Dışsal</v>
          </cell>
          <cell r="K6" t="str">
            <v>Bildirimsiz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109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61198.049999512732</v>
          </cell>
        </row>
        <row r="7">
          <cell r="C7" t="str">
            <v>TEKİRDAĞ</v>
          </cell>
          <cell r="D7" t="str">
            <v>MARMARAEREĞLİSİ</v>
          </cell>
          <cell r="H7" t="str">
            <v>Dağıtım-AG</v>
          </cell>
          <cell r="I7" t="str">
            <v>Uzun</v>
          </cell>
          <cell r="J7" t="str">
            <v>Şebeke işletmecisi</v>
          </cell>
          <cell r="K7" t="str">
            <v>Bildirimsiz</v>
          </cell>
          <cell r="O7">
            <v>0</v>
          </cell>
          <cell r="P7">
            <v>0</v>
          </cell>
          <cell r="Q7">
            <v>0</v>
          </cell>
          <cell r="R7">
            <v>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2791.4166666625533</v>
          </cell>
          <cell r="Y7">
            <v>0</v>
          </cell>
          <cell r="Z7">
            <v>0</v>
          </cell>
        </row>
        <row r="8">
          <cell r="C8" t="str">
            <v>KIRKLARELİ</v>
          </cell>
          <cell r="D8" t="str">
            <v>KIRKLARELİMERKEZ</v>
          </cell>
          <cell r="H8" t="str">
            <v>Dağıtım-OG</v>
          </cell>
          <cell r="I8" t="str">
            <v>Uzun</v>
          </cell>
          <cell r="J8" t="str">
            <v>Dışsal</v>
          </cell>
          <cell r="K8" t="str">
            <v>Bildirimsiz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1088.4333333140239</v>
          </cell>
          <cell r="Z8">
            <v>0</v>
          </cell>
        </row>
        <row r="9">
          <cell r="C9" t="str">
            <v>TEKİRDAĞ</v>
          </cell>
          <cell r="D9" t="str">
            <v>MALKARA</v>
          </cell>
          <cell r="H9" t="str">
            <v>Dağıtım-OG</v>
          </cell>
          <cell r="I9" t="str">
            <v>Uzun</v>
          </cell>
          <cell r="J9" t="str">
            <v>Şebeke işletmecisi</v>
          </cell>
          <cell r="K9" t="str">
            <v>Bildirimli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2</v>
          </cell>
          <cell r="T9">
            <v>208</v>
          </cell>
          <cell r="U9">
            <v>0</v>
          </cell>
          <cell r="V9">
            <v>539.96666666935198</v>
          </cell>
          <cell r="W9">
            <v>0</v>
          </cell>
          <cell r="X9">
            <v>0</v>
          </cell>
          <cell r="Y9">
            <v>1079.933333338704</v>
          </cell>
          <cell r="Z9">
            <v>112313.06666722521</v>
          </cell>
        </row>
        <row r="10">
          <cell r="C10" t="str">
            <v>TEKİRDAĞ</v>
          </cell>
          <cell r="D10" t="str">
            <v>MARMARAEREĞLİSİ</v>
          </cell>
          <cell r="H10" t="str">
            <v>Dağıtım-AG</v>
          </cell>
          <cell r="I10" t="str">
            <v>Uzun</v>
          </cell>
          <cell r="J10" t="str">
            <v>Şebeke işletmecisi</v>
          </cell>
          <cell r="K10" t="str">
            <v>Bildirimsiz</v>
          </cell>
          <cell r="O10">
            <v>0</v>
          </cell>
          <cell r="P10">
            <v>226</v>
          </cell>
          <cell r="Q10">
            <v>0</v>
          </cell>
          <cell r="R10">
            <v>1</v>
          </cell>
          <cell r="S10">
            <v>0</v>
          </cell>
          <cell r="T10">
            <v>0</v>
          </cell>
          <cell r="U10">
            <v>0</v>
          </cell>
          <cell r="V10">
            <v>121109.63333132677</v>
          </cell>
          <cell r="W10">
            <v>0</v>
          </cell>
          <cell r="X10">
            <v>535.88333332445472</v>
          </cell>
          <cell r="Y10">
            <v>0</v>
          </cell>
          <cell r="Z10">
            <v>0</v>
          </cell>
        </row>
        <row r="11">
          <cell r="C11" t="str">
            <v>KIRKLARELİ</v>
          </cell>
          <cell r="D11" t="str">
            <v>KIRKLARELİMERKEZ</v>
          </cell>
          <cell r="H11" t="str">
            <v>Dağıtım-OG</v>
          </cell>
          <cell r="I11" t="str">
            <v>Uzun</v>
          </cell>
          <cell r="J11" t="str">
            <v>Şebeke İşletmecisi</v>
          </cell>
          <cell r="K11" t="str">
            <v>Bildirimsiz</v>
          </cell>
          <cell r="O11">
            <v>0</v>
          </cell>
          <cell r="P11">
            <v>0</v>
          </cell>
          <cell r="Q11">
            <v>5</v>
          </cell>
          <cell r="R11">
            <v>0</v>
          </cell>
          <cell r="S11">
            <v>9</v>
          </cell>
          <cell r="T11">
            <v>668</v>
          </cell>
          <cell r="U11">
            <v>0</v>
          </cell>
          <cell r="V11">
            <v>0</v>
          </cell>
          <cell r="W11">
            <v>2631.1666667112149</v>
          </cell>
          <cell r="X11">
            <v>0</v>
          </cell>
          <cell r="Y11">
            <v>4736.1000000801869</v>
          </cell>
          <cell r="Z11">
            <v>351523.86667261831</v>
          </cell>
        </row>
        <row r="12">
          <cell r="C12" t="str">
            <v>KIRKLARELİ</v>
          </cell>
          <cell r="D12" t="str">
            <v>KIRKLARELİMERKEZ</v>
          </cell>
          <cell r="H12" t="str">
            <v>Dağıtım-OG</v>
          </cell>
          <cell r="I12" t="str">
            <v>Uzun</v>
          </cell>
          <cell r="J12" t="str">
            <v>Şebeke işletmecisi</v>
          </cell>
          <cell r="K12" t="str">
            <v>Bildirimsiz</v>
          </cell>
          <cell r="O12">
            <v>0</v>
          </cell>
          <cell r="P12">
            <v>0</v>
          </cell>
          <cell r="Q12">
            <v>5</v>
          </cell>
          <cell r="R12">
            <v>0</v>
          </cell>
          <cell r="S12">
            <v>9</v>
          </cell>
          <cell r="T12">
            <v>668</v>
          </cell>
          <cell r="U12">
            <v>0</v>
          </cell>
          <cell r="V12">
            <v>0</v>
          </cell>
          <cell r="W12">
            <v>2621.9166666967794</v>
          </cell>
          <cell r="X12">
            <v>0</v>
          </cell>
          <cell r="Y12">
            <v>4719.450000054203</v>
          </cell>
          <cell r="Z12">
            <v>350288.06667068973</v>
          </cell>
        </row>
        <row r="13">
          <cell r="C13" t="str">
            <v>EDİRNE</v>
          </cell>
          <cell r="D13" t="str">
            <v>KEŞAN</v>
          </cell>
          <cell r="H13" t="str">
            <v>Dağıtım-OG</v>
          </cell>
          <cell r="I13" t="str">
            <v>Uzun</v>
          </cell>
          <cell r="J13" t="str">
            <v>Şebeke işletmecisi</v>
          </cell>
          <cell r="K13" t="str">
            <v>Bildirimli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242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124827.63333445648</v>
          </cell>
        </row>
        <row r="14">
          <cell r="C14" t="str">
            <v>TEKİRDAĞ</v>
          </cell>
          <cell r="D14" t="str">
            <v>ÇORLU</v>
          </cell>
          <cell r="H14" t="str">
            <v>Dağıtım-AG</v>
          </cell>
          <cell r="I14" t="str">
            <v>Uzun</v>
          </cell>
          <cell r="J14" t="str">
            <v>Şebeke işletmecisi</v>
          </cell>
          <cell r="K14" t="str">
            <v>Bildirimsiz</v>
          </cell>
          <cell r="O14">
            <v>0</v>
          </cell>
          <cell r="P14">
            <v>819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405759.89999715239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 t="str">
            <v>TEKİRDAĞ</v>
          </cell>
          <cell r="D15" t="str">
            <v>ÇERKEZKÖY</v>
          </cell>
          <cell r="H15" t="str">
            <v>Dağıtım-OG</v>
          </cell>
          <cell r="I15" t="str">
            <v>Uzun</v>
          </cell>
          <cell r="J15" t="str">
            <v>Şebeke işletmecisi</v>
          </cell>
          <cell r="K15" t="str">
            <v>Bildirimsiz</v>
          </cell>
          <cell r="O15">
            <v>0</v>
          </cell>
          <cell r="P15">
            <v>401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198428.16666784929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 t="str">
            <v>EDİRNE</v>
          </cell>
          <cell r="D16" t="str">
            <v>ENEZ</v>
          </cell>
          <cell r="H16" t="str">
            <v>Dağıtım-AG</v>
          </cell>
          <cell r="I16" t="str">
            <v>Uzun</v>
          </cell>
          <cell r="J16" t="str">
            <v>Şebeke işletmecisi</v>
          </cell>
          <cell r="K16" t="str">
            <v>Bildirimsiz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987.9666666733101</v>
          </cell>
        </row>
        <row r="17">
          <cell r="C17" t="str">
            <v>EDİRNE</v>
          </cell>
          <cell r="D17" t="str">
            <v>EDİRNEMERKEZ</v>
          </cell>
          <cell r="H17" t="str">
            <v>Dağıtım-OG</v>
          </cell>
          <cell r="I17" t="str">
            <v>Uzun</v>
          </cell>
          <cell r="J17" t="str">
            <v>Şebeke işletmecisi</v>
          </cell>
          <cell r="K17" t="str">
            <v>Bildirimli</v>
          </cell>
          <cell r="O17">
            <v>2</v>
          </cell>
          <cell r="P17">
            <v>2511</v>
          </cell>
          <cell r="Q17">
            <v>0</v>
          </cell>
          <cell r="R17">
            <v>3</v>
          </cell>
          <cell r="S17">
            <v>0</v>
          </cell>
          <cell r="T17">
            <v>0</v>
          </cell>
          <cell r="U17">
            <v>960.00000000698492</v>
          </cell>
          <cell r="V17">
            <v>1205280.0000087696</v>
          </cell>
          <cell r="W17">
            <v>0</v>
          </cell>
          <cell r="X17">
            <v>1440.0000000104774</v>
          </cell>
          <cell r="Y17">
            <v>0</v>
          </cell>
          <cell r="Z17">
            <v>0</v>
          </cell>
        </row>
        <row r="18">
          <cell r="C18" t="str">
            <v>TEKİRDAĞ</v>
          </cell>
          <cell r="D18" t="str">
            <v>ÇORLU</v>
          </cell>
          <cell r="H18" t="str">
            <v>Dağıtım-AG</v>
          </cell>
          <cell r="I18" t="str">
            <v>Uzun</v>
          </cell>
          <cell r="J18" t="str">
            <v>Şebeke işletmecisi</v>
          </cell>
          <cell r="K18" t="str">
            <v>Bildirimli</v>
          </cell>
          <cell r="O18">
            <v>0</v>
          </cell>
          <cell r="P18">
            <v>109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52316.366667340044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 t="str">
            <v>TEKİRDAĞ</v>
          </cell>
          <cell r="D19" t="str">
            <v>ÇORLU</v>
          </cell>
          <cell r="H19" t="str">
            <v>Dağıtım-OG</v>
          </cell>
          <cell r="I19" t="str">
            <v>Uzun</v>
          </cell>
          <cell r="J19" t="str">
            <v>Şebeke işletmecisi</v>
          </cell>
          <cell r="K19" t="str">
            <v>Bildirimli</v>
          </cell>
          <cell r="O19">
            <v>2</v>
          </cell>
          <cell r="P19">
            <v>22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959.6999999997206</v>
          </cell>
          <cell r="V19">
            <v>10556.699999996927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 t="str">
            <v>KIRKLARELİ</v>
          </cell>
          <cell r="D20" t="str">
            <v>VİZE</v>
          </cell>
          <cell r="H20" t="str">
            <v>İletim</v>
          </cell>
          <cell r="I20" t="str">
            <v>Uzun</v>
          </cell>
          <cell r="J20" t="str">
            <v>Şebeke işletmecisi</v>
          </cell>
          <cell r="K20" t="str">
            <v>Bildirimli</v>
          </cell>
          <cell r="O20">
            <v>0</v>
          </cell>
          <cell r="P20">
            <v>14</v>
          </cell>
          <cell r="Q20">
            <v>21</v>
          </cell>
          <cell r="R20">
            <v>1344</v>
          </cell>
          <cell r="S20">
            <v>40</v>
          </cell>
          <cell r="T20">
            <v>2064</v>
          </cell>
          <cell r="U20">
            <v>0</v>
          </cell>
          <cell r="V20">
            <v>6554.3333332333714</v>
          </cell>
          <cell r="W20">
            <v>9831.4999998500571</v>
          </cell>
          <cell r="X20">
            <v>629215.99999040365</v>
          </cell>
          <cell r="Y20">
            <v>18726.666666381061</v>
          </cell>
          <cell r="Z20">
            <v>966295.99998526275</v>
          </cell>
        </row>
        <row r="21">
          <cell r="C21" t="str">
            <v>TEKİRDAĞ</v>
          </cell>
          <cell r="D21" t="str">
            <v>ÇERKEZKÖY</v>
          </cell>
          <cell r="H21" t="str">
            <v>Dağıtım-OG</v>
          </cell>
          <cell r="I21" t="str">
            <v>Uzun</v>
          </cell>
          <cell r="J21" t="str">
            <v>Şebeke işletmecisi</v>
          </cell>
          <cell r="K21" t="str">
            <v>Bildirimsiz</v>
          </cell>
          <cell r="O21">
            <v>30</v>
          </cell>
          <cell r="P21">
            <v>45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13638.500000000931</v>
          </cell>
          <cell r="V21">
            <v>20457.750000001397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 t="str">
            <v>EDİRNE</v>
          </cell>
          <cell r="D22" t="str">
            <v>HAVSA</v>
          </cell>
          <cell r="H22" t="str">
            <v>Dağıtım-OG</v>
          </cell>
          <cell r="I22" t="str">
            <v>Uzun</v>
          </cell>
          <cell r="J22" t="str">
            <v>Şebeke İşletmecisi</v>
          </cell>
          <cell r="K22" t="str">
            <v>Bildirimsiz</v>
          </cell>
          <cell r="O22">
            <v>0</v>
          </cell>
          <cell r="P22">
            <v>0</v>
          </cell>
          <cell r="Q22">
            <v>2</v>
          </cell>
          <cell r="R22">
            <v>61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902.00000000651926</v>
          </cell>
          <cell r="X22">
            <v>27511.000000198837</v>
          </cell>
          <cell r="Y22">
            <v>0</v>
          </cell>
          <cell r="Z22">
            <v>0</v>
          </cell>
        </row>
        <row r="23">
          <cell r="C23" t="str">
            <v>KIRKLARELİ</v>
          </cell>
          <cell r="D23" t="str">
            <v>LÜLEBURGAZ</v>
          </cell>
          <cell r="H23" t="str">
            <v>Dağıtım-AG</v>
          </cell>
          <cell r="I23" t="str">
            <v>Uzun</v>
          </cell>
          <cell r="J23" t="str">
            <v>Şebeke işletmecisi</v>
          </cell>
          <cell r="K23" t="str">
            <v>Bildirimsiz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91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40554.14999994915</v>
          </cell>
        </row>
        <row r="24">
          <cell r="C24" t="str">
            <v>EDİRNE</v>
          </cell>
          <cell r="D24" t="str">
            <v>HAVSA</v>
          </cell>
          <cell r="H24" t="str">
            <v>Dağıtım-OG</v>
          </cell>
          <cell r="I24" t="str">
            <v>Uzun</v>
          </cell>
          <cell r="J24" t="str">
            <v>Şebeke işletmecisi</v>
          </cell>
          <cell r="K24" t="str">
            <v>Bildirimli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640</v>
          </cell>
          <cell r="U24">
            <v>0</v>
          </cell>
          <cell r="V24">
            <v>0</v>
          </cell>
          <cell r="W24">
            <v>0</v>
          </cell>
          <cell r="X24">
            <v>440.26666666497476</v>
          </cell>
          <cell r="Y24">
            <v>0</v>
          </cell>
          <cell r="Z24">
            <v>281770.66666558385</v>
          </cell>
        </row>
        <row r="25">
          <cell r="C25" t="str">
            <v>TEKİRDAĞ</v>
          </cell>
          <cell r="D25" t="str">
            <v>ÇORLU</v>
          </cell>
          <cell r="H25" t="str">
            <v>Dağıtım-OG</v>
          </cell>
          <cell r="I25" t="str">
            <v>Uzun</v>
          </cell>
          <cell r="J25" t="str">
            <v>Dışsal</v>
          </cell>
          <cell r="K25" t="str">
            <v>Bildirimsiz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433.94999999902211</v>
          </cell>
          <cell r="Z25">
            <v>0</v>
          </cell>
        </row>
        <row r="26">
          <cell r="C26" t="str">
            <v>TEKİRDAĞ</v>
          </cell>
          <cell r="D26" t="str">
            <v>KAPAKLI</v>
          </cell>
          <cell r="H26" t="str">
            <v>Dağıtım-OG</v>
          </cell>
          <cell r="I26" t="str">
            <v>Uzun</v>
          </cell>
          <cell r="J26" t="str">
            <v>Şebeke işletmecisi</v>
          </cell>
          <cell r="K26" t="str">
            <v>Bildirimsiz</v>
          </cell>
          <cell r="O26">
            <v>8</v>
          </cell>
          <cell r="P26">
            <v>1384</v>
          </cell>
          <cell r="Q26">
            <v>0</v>
          </cell>
          <cell r="R26">
            <v>0</v>
          </cell>
          <cell r="S26">
            <v>0</v>
          </cell>
          <cell r="T26">
            <v>5</v>
          </cell>
          <cell r="U26">
            <v>3451.2000000011176</v>
          </cell>
          <cell r="V26">
            <v>597057.60000019334</v>
          </cell>
          <cell r="W26">
            <v>0</v>
          </cell>
          <cell r="X26">
            <v>0</v>
          </cell>
          <cell r="Y26">
            <v>0</v>
          </cell>
          <cell r="Z26">
            <v>2157.0000000006985</v>
          </cell>
        </row>
        <row r="27">
          <cell r="C27" t="str">
            <v>EDİRNE</v>
          </cell>
          <cell r="D27" t="str">
            <v>HAVSA</v>
          </cell>
          <cell r="H27" t="str">
            <v>Dağıtım-OG</v>
          </cell>
          <cell r="I27" t="str">
            <v>Uzun</v>
          </cell>
          <cell r="J27" t="str">
            <v>Şebeke işletmecisi</v>
          </cell>
          <cell r="K27" t="str">
            <v>Bildirimsiz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859.1333333356306</v>
          </cell>
          <cell r="Z27">
            <v>429.5666666678153</v>
          </cell>
        </row>
        <row r="28">
          <cell r="C28" t="str">
            <v>TEKİRDAĞ</v>
          </cell>
          <cell r="D28" t="str">
            <v>ERGENE</v>
          </cell>
          <cell r="H28" t="str">
            <v>Dağıtım-OG</v>
          </cell>
          <cell r="I28" t="str">
            <v>Uzun</v>
          </cell>
          <cell r="J28" t="str">
            <v>Şebeke işletmecisi</v>
          </cell>
          <cell r="K28" t="str">
            <v>Bildirimli</v>
          </cell>
          <cell r="O28">
            <v>2</v>
          </cell>
          <cell r="P28">
            <v>3898</v>
          </cell>
          <cell r="Q28">
            <v>0</v>
          </cell>
          <cell r="R28">
            <v>0</v>
          </cell>
          <cell r="S28">
            <v>0</v>
          </cell>
          <cell r="T28">
            <v>3</v>
          </cell>
          <cell r="U28">
            <v>839.99999999301508</v>
          </cell>
          <cell r="V28">
            <v>1637159.9999863864</v>
          </cell>
          <cell r="W28">
            <v>0</v>
          </cell>
          <cell r="X28">
            <v>0</v>
          </cell>
          <cell r="Y28">
            <v>0</v>
          </cell>
          <cell r="Z28">
            <v>1259.9999999895226</v>
          </cell>
        </row>
        <row r="29">
          <cell r="C29" t="str">
            <v>EDİRNE</v>
          </cell>
          <cell r="D29" t="str">
            <v>EDİRNEMERKEZ</v>
          </cell>
          <cell r="H29" t="str">
            <v>Dağıtım-AG</v>
          </cell>
          <cell r="I29" t="str">
            <v>Uzun</v>
          </cell>
          <cell r="J29" t="str">
            <v>Şebeke işletmecisi</v>
          </cell>
          <cell r="K29" t="str">
            <v>Bildirimli</v>
          </cell>
          <cell r="O29">
            <v>0</v>
          </cell>
          <cell r="P29">
            <v>26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10918.699999877717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 t="str">
            <v>EDİRNE</v>
          </cell>
          <cell r="D30" t="str">
            <v>ENEZ</v>
          </cell>
          <cell r="H30" t="str">
            <v>Dağıtım-OG</v>
          </cell>
          <cell r="I30" t="str">
            <v>Uzun</v>
          </cell>
          <cell r="J30" t="str">
            <v>Şebeke işletmecisi</v>
          </cell>
          <cell r="K30" t="str">
            <v>Bildirimli</v>
          </cell>
          <cell r="O30">
            <v>0</v>
          </cell>
          <cell r="P30">
            <v>0</v>
          </cell>
          <cell r="Q30">
            <v>0</v>
          </cell>
          <cell r="R30">
            <v>422</v>
          </cell>
          <cell r="S30">
            <v>1</v>
          </cell>
          <cell r="T30">
            <v>3</v>
          </cell>
          <cell r="U30">
            <v>0</v>
          </cell>
          <cell r="V30">
            <v>0</v>
          </cell>
          <cell r="W30">
            <v>0</v>
          </cell>
          <cell r="X30">
            <v>177190.76666694833</v>
          </cell>
          <cell r="Y30">
            <v>419.88333333400078</v>
          </cell>
          <cell r="Z30">
            <v>1259.6500000020023</v>
          </cell>
        </row>
        <row r="31">
          <cell r="C31" t="str">
            <v>EDİRNE</v>
          </cell>
          <cell r="D31" t="str">
            <v>EDİRNEMERKEZ</v>
          </cell>
          <cell r="H31" t="str">
            <v>Dağıtım-AG</v>
          </cell>
          <cell r="I31" t="str">
            <v>Uzun</v>
          </cell>
          <cell r="J31" t="str">
            <v>Şebeke işletmecisi</v>
          </cell>
          <cell r="K31" t="str">
            <v>Bildirimli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26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10905.266666673124</v>
          </cell>
        </row>
        <row r="32">
          <cell r="C32" t="str">
            <v>TEKİRDAĞ</v>
          </cell>
          <cell r="D32" t="str">
            <v>ÇORLU</v>
          </cell>
          <cell r="H32" t="str">
            <v>Dağıtım-OG</v>
          </cell>
          <cell r="I32" t="str">
            <v>Uzun</v>
          </cell>
          <cell r="J32" t="str">
            <v>Dışsal</v>
          </cell>
          <cell r="K32" t="str">
            <v>Bildirimsiz</v>
          </cell>
          <cell r="O32">
            <v>13</v>
          </cell>
          <cell r="P32">
            <v>1801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5425.766666654963</v>
          </cell>
          <cell r="V32">
            <v>751677.36666504527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 t="str">
            <v>TEKİRDAĞ</v>
          </cell>
          <cell r="D33" t="str">
            <v>HAYRABOLU</v>
          </cell>
          <cell r="H33" t="str">
            <v>Dağıtım-AG</v>
          </cell>
          <cell r="I33" t="str">
            <v>Uzun</v>
          </cell>
          <cell r="J33" t="str">
            <v>Şebeke işletmecisi</v>
          </cell>
          <cell r="K33" t="str">
            <v>Bildirimsiz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16061.499999779044</v>
          </cell>
        </row>
        <row r="34">
          <cell r="C34" t="str">
            <v>EDİRNE</v>
          </cell>
          <cell r="D34" t="str">
            <v>EDİRNEMERKEZ</v>
          </cell>
          <cell r="H34" t="str">
            <v>Dağıtım-AG</v>
          </cell>
          <cell r="I34" t="str">
            <v>Uzun</v>
          </cell>
          <cell r="J34" t="str">
            <v>Şebeke işletmecisi</v>
          </cell>
          <cell r="K34" t="str">
            <v>Bildirimli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45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18454.499999899417</v>
          </cell>
        </row>
        <row r="35">
          <cell r="C35" t="str">
            <v>EDİRNE</v>
          </cell>
          <cell r="D35" t="str">
            <v>EDİRNEMERKEZ</v>
          </cell>
          <cell r="H35" t="str">
            <v>Dağıtım-OG</v>
          </cell>
          <cell r="I35" t="str">
            <v>Uzun</v>
          </cell>
          <cell r="J35" t="str">
            <v>Şebeke işletmecisi</v>
          </cell>
          <cell r="K35" t="str">
            <v>Bildirimli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185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75550.916665670229</v>
          </cell>
        </row>
        <row r="36">
          <cell r="C36" t="str">
            <v>EDİRNE</v>
          </cell>
          <cell r="D36" t="str">
            <v>UZUNKÖPRÜ</v>
          </cell>
          <cell r="H36" t="str">
            <v>Dağıtım-OG</v>
          </cell>
          <cell r="I36" t="str">
            <v>Uzun</v>
          </cell>
          <cell r="J36" t="str">
            <v>Şebeke işletmecisi</v>
          </cell>
          <cell r="K36" t="str">
            <v>Bildirimli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3</v>
          </cell>
          <cell r="T36">
            <v>0</v>
          </cell>
          <cell r="U36">
            <v>405.11666666250676</v>
          </cell>
          <cell r="V36">
            <v>0</v>
          </cell>
          <cell r="W36">
            <v>0</v>
          </cell>
          <cell r="X36">
            <v>0</v>
          </cell>
          <cell r="Y36">
            <v>1215.3499999875203</v>
          </cell>
          <cell r="Z36">
            <v>0</v>
          </cell>
        </row>
        <row r="37">
          <cell r="C37" t="str">
            <v>TEKİRDAĞ</v>
          </cell>
          <cell r="D37" t="str">
            <v>MARMARAEREĞLİSİ</v>
          </cell>
          <cell r="H37" t="str">
            <v>Dağıtım-AG</v>
          </cell>
          <cell r="I37" t="str">
            <v>Uzun</v>
          </cell>
          <cell r="J37" t="str">
            <v>Şebeke işletmecisi</v>
          </cell>
          <cell r="K37" t="str">
            <v>Bildirimsiz</v>
          </cell>
          <cell r="O37">
            <v>0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393.76666666008532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 t="str">
            <v>EDİRNE</v>
          </cell>
          <cell r="D38" t="str">
            <v>UZUNKÖPRÜ</v>
          </cell>
          <cell r="H38" t="str">
            <v>Dağıtım-AG</v>
          </cell>
          <cell r="I38" t="str">
            <v>Uzun</v>
          </cell>
          <cell r="J38" t="str">
            <v>Şebeke işletmecisi</v>
          </cell>
          <cell r="K38" t="str">
            <v>Bildirimli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168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65539.599999887869</v>
          </cell>
        </row>
        <row r="39">
          <cell r="C39" t="str">
            <v>EDİRNE</v>
          </cell>
          <cell r="D39" t="str">
            <v>ENEZ</v>
          </cell>
          <cell r="H39" t="str">
            <v>Dağıtım-AG</v>
          </cell>
          <cell r="I39" t="str">
            <v>Uzun</v>
          </cell>
          <cell r="J39" t="str">
            <v>Şebeke işletmecisi</v>
          </cell>
          <cell r="K39" t="str">
            <v>Bildirimsiz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5461.4000000827946</v>
          </cell>
        </row>
        <row r="40">
          <cell r="C40" t="str">
            <v>KIRKLARELİ</v>
          </cell>
          <cell r="D40" t="str">
            <v>KIRKLARELİMERKEZ</v>
          </cell>
          <cell r="H40" t="str">
            <v>Dağıtım-AG</v>
          </cell>
          <cell r="I40" t="str">
            <v>Uzun</v>
          </cell>
          <cell r="J40" t="str">
            <v>Şebeke işletmecisi</v>
          </cell>
          <cell r="K40" t="str">
            <v>Bildirimsiz</v>
          </cell>
          <cell r="O40">
            <v>0</v>
          </cell>
          <cell r="P40">
            <v>106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40573.266666610725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C41" t="str">
            <v>EDİRNE</v>
          </cell>
          <cell r="D41" t="str">
            <v>EDİRNEMERKEZ</v>
          </cell>
          <cell r="H41" t="str">
            <v>Dağıtım-OG</v>
          </cell>
          <cell r="I41" t="str">
            <v>Uzun</v>
          </cell>
          <cell r="J41" t="str">
            <v>Şebeke işletmecisi</v>
          </cell>
          <cell r="K41" t="str">
            <v>Bildirimsiz</v>
          </cell>
          <cell r="O41">
            <v>0</v>
          </cell>
          <cell r="P41">
            <v>37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14121.666666824603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C42" t="str">
            <v>TEKİRDAĞ</v>
          </cell>
          <cell r="D42" t="str">
            <v>ÇERKEZKÖY</v>
          </cell>
          <cell r="H42" t="str">
            <v>Dağıtım-OG</v>
          </cell>
          <cell r="I42" t="str">
            <v>Uzun</v>
          </cell>
          <cell r="J42" t="str">
            <v>Şebeke işletmecisi</v>
          </cell>
          <cell r="K42" t="str">
            <v>Bildirimli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745.46666666865349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C43" t="str">
            <v>TEKİRDAĞ</v>
          </cell>
          <cell r="D43" t="str">
            <v>ÇORLU</v>
          </cell>
          <cell r="H43" t="str">
            <v>Dağıtım-AG</v>
          </cell>
          <cell r="I43" t="str">
            <v>Uzun</v>
          </cell>
          <cell r="J43" t="str">
            <v>Şebeke işletmecisi</v>
          </cell>
          <cell r="K43" t="str">
            <v>Bildirimsiz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15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5587.4999999825377</v>
          </cell>
        </row>
        <row r="44">
          <cell r="C44" t="str">
            <v>KIRKLARELİ</v>
          </cell>
          <cell r="D44" t="str">
            <v>KIRKLARELİMERKEZ</v>
          </cell>
          <cell r="H44" t="str">
            <v>Dağıtım-OG</v>
          </cell>
          <cell r="I44" t="str">
            <v>Uzun</v>
          </cell>
          <cell r="J44" t="str">
            <v>Şebeke işletmecisi</v>
          </cell>
          <cell r="K44" t="str">
            <v>Bildirimsiz</v>
          </cell>
          <cell r="O44">
            <v>0</v>
          </cell>
          <cell r="P44">
            <v>0</v>
          </cell>
          <cell r="Q44">
            <v>5</v>
          </cell>
          <cell r="R44">
            <v>0</v>
          </cell>
          <cell r="S44">
            <v>9</v>
          </cell>
          <cell r="T44">
            <v>668</v>
          </cell>
          <cell r="U44">
            <v>0</v>
          </cell>
          <cell r="V44">
            <v>0</v>
          </cell>
          <cell r="W44">
            <v>1853.6666666390374</v>
          </cell>
          <cell r="X44">
            <v>0</v>
          </cell>
          <cell r="Y44">
            <v>3336.5999999502674</v>
          </cell>
          <cell r="Z44">
            <v>247649.8666629754</v>
          </cell>
        </row>
        <row r="45">
          <cell r="C45" t="str">
            <v>TEKİRDAĞ</v>
          </cell>
          <cell r="D45" t="str">
            <v>ÇORLU</v>
          </cell>
          <cell r="H45" t="str">
            <v>Dağıtım-AG</v>
          </cell>
          <cell r="I45" t="str">
            <v>Uzun</v>
          </cell>
          <cell r="J45" t="str">
            <v>Şebeke işletmecisi</v>
          </cell>
          <cell r="K45" t="str">
            <v>Bildirimli</v>
          </cell>
          <cell r="O45">
            <v>0</v>
          </cell>
          <cell r="P45">
            <v>60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22177.999999956228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 t="str">
            <v>KIRKLARELİ</v>
          </cell>
          <cell r="D46" t="str">
            <v>BABAESKİ</v>
          </cell>
          <cell r="H46" t="str">
            <v>Dağıtım-OG</v>
          </cell>
          <cell r="I46" t="str">
            <v>Uzun</v>
          </cell>
          <cell r="J46" t="str">
            <v>Şebeke işletmecisi</v>
          </cell>
          <cell r="K46" t="str">
            <v>Bildirimli</v>
          </cell>
          <cell r="O46">
            <v>8</v>
          </cell>
          <cell r="P46">
            <v>19</v>
          </cell>
          <cell r="Q46">
            <v>0</v>
          </cell>
          <cell r="R46">
            <v>4</v>
          </cell>
          <cell r="S46">
            <v>68</v>
          </cell>
          <cell r="T46">
            <v>3661</v>
          </cell>
          <cell r="U46">
            <v>2905.7333333138376</v>
          </cell>
          <cell r="V46">
            <v>6901.1166666203644</v>
          </cell>
          <cell r="W46">
            <v>0</v>
          </cell>
          <cell r="X46">
            <v>1452.8666666569188</v>
          </cell>
          <cell r="Y46">
            <v>24698.73333316762</v>
          </cell>
          <cell r="Z46">
            <v>1329736.216657745</v>
          </cell>
        </row>
        <row r="47">
          <cell r="C47" t="str">
            <v>KIRKLARELİ</v>
          </cell>
          <cell r="D47" t="str">
            <v>KIRKLARELİMERKEZ</v>
          </cell>
          <cell r="H47" t="str">
            <v>Dağıtım-OG</v>
          </cell>
          <cell r="I47" t="str">
            <v>Uzun</v>
          </cell>
          <cell r="J47" t="str">
            <v>Şebeke işletmecisi</v>
          </cell>
          <cell r="K47" t="str">
            <v>Bildirimsiz</v>
          </cell>
          <cell r="O47">
            <v>0</v>
          </cell>
          <cell r="P47">
            <v>0</v>
          </cell>
          <cell r="Q47">
            <v>5</v>
          </cell>
          <cell r="R47">
            <v>0</v>
          </cell>
          <cell r="S47">
            <v>9</v>
          </cell>
          <cell r="T47">
            <v>668</v>
          </cell>
          <cell r="U47">
            <v>0</v>
          </cell>
          <cell r="V47">
            <v>0</v>
          </cell>
          <cell r="W47">
            <v>1805.7500000344589</v>
          </cell>
          <cell r="X47">
            <v>0</v>
          </cell>
          <cell r="Y47">
            <v>3250.3500000620261</v>
          </cell>
          <cell r="Z47">
            <v>241248.20000460371</v>
          </cell>
        </row>
        <row r="48">
          <cell r="C48" t="str">
            <v>TEKİRDAĞ</v>
          </cell>
          <cell r="D48" t="str">
            <v>MURATLI</v>
          </cell>
          <cell r="H48" t="str">
            <v>Dağıtım-AG</v>
          </cell>
          <cell r="I48" t="str">
            <v>Uzun</v>
          </cell>
          <cell r="J48" t="str">
            <v>Şebeke işletmecisi</v>
          </cell>
          <cell r="K48" t="str">
            <v>Bildirimli</v>
          </cell>
          <cell r="O48">
            <v>0</v>
          </cell>
          <cell r="P48">
            <v>3</v>
          </cell>
          <cell r="Q48">
            <v>0</v>
          </cell>
          <cell r="R48">
            <v>0</v>
          </cell>
          <cell r="S48">
            <v>0</v>
          </cell>
          <cell r="T48">
            <v>48</v>
          </cell>
          <cell r="U48">
            <v>0</v>
          </cell>
          <cell r="V48">
            <v>1079.9499999883119</v>
          </cell>
          <cell r="W48">
            <v>0</v>
          </cell>
          <cell r="X48">
            <v>0</v>
          </cell>
          <cell r="Y48">
            <v>0</v>
          </cell>
          <cell r="Z48">
            <v>17279.19999981299</v>
          </cell>
        </row>
        <row r="49">
          <cell r="C49" t="str">
            <v>EDİRNE</v>
          </cell>
          <cell r="D49" t="str">
            <v>ENEZ</v>
          </cell>
          <cell r="H49" t="str">
            <v>Dağıtım-AG</v>
          </cell>
          <cell r="I49" t="str">
            <v>Uzun</v>
          </cell>
          <cell r="J49" t="str">
            <v>Şebeke işletmecisi</v>
          </cell>
          <cell r="K49" t="str">
            <v>Bildirimli</v>
          </cell>
          <cell r="O49">
            <v>0</v>
          </cell>
          <cell r="P49">
            <v>0</v>
          </cell>
          <cell r="Q49">
            <v>0</v>
          </cell>
          <cell r="R49">
            <v>134</v>
          </cell>
          <cell r="S49">
            <v>0</v>
          </cell>
          <cell r="T49">
            <v>1</v>
          </cell>
          <cell r="U49">
            <v>0</v>
          </cell>
          <cell r="V49">
            <v>0</v>
          </cell>
          <cell r="W49">
            <v>0</v>
          </cell>
          <cell r="X49">
            <v>48233.299999837764</v>
          </cell>
          <cell r="Y49">
            <v>0</v>
          </cell>
          <cell r="Z49">
            <v>359.94999999878928</v>
          </cell>
        </row>
        <row r="50">
          <cell r="C50" t="str">
            <v>EDİRNE</v>
          </cell>
          <cell r="D50" t="str">
            <v>ENEZ</v>
          </cell>
          <cell r="H50" t="str">
            <v>Dağıtım-AG</v>
          </cell>
          <cell r="I50" t="str">
            <v>Uzun</v>
          </cell>
          <cell r="J50" t="str">
            <v>Şebeke işletmecisi</v>
          </cell>
          <cell r="K50" t="str">
            <v>Bildirimli</v>
          </cell>
          <cell r="O50">
            <v>0</v>
          </cell>
          <cell r="P50">
            <v>0</v>
          </cell>
          <cell r="Q50">
            <v>0</v>
          </cell>
          <cell r="R50">
            <v>116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41750.333333504386</v>
          </cell>
          <cell r="Y50">
            <v>0</v>
          </cell>
          <cell r="Z50">
            <v>0</v>
          </cell>
        </row>
        <row r="51">
          <cell r="C51" t="str">
            <v>TEKİRDAĞ</v>
          </cell>
          <cell r="D51" t="str">
            <v>ERGENE</v>
          </cell>
          <cell r="H51" t="str">
            <v>Dağıtım-OG</v>
          </cell>
          <cell r="I51" t="str">
            <v>Uzun</v>
          </cell>
          <cell r="J51" t="str">
            <v>Şebeke işletmecisi</v>
          </cell>
          <cell r="K51" t="str">
            <v>Bildirimli</v>
          </cell>
          <cell r="O51">
            <v>72</v>
          </cell>
          <cell r="P51">
            <v>20</v>
          </cell>
          <cell r="Q51">
            <v>0</v>
          </cell>
          <cell r="R51">
            <v>0</v>
          </cell>
          <cell r="S51">
            <v>0</v>
          </cell>
          <cell r="T51">
            <v>5</v>
          </cell>
          <cell r="U51">
            <v>25912.799999825656</v>
          </cell>
          <cell r="V51">
            <v>7197.9999999515712</v>
          </cell>
          <cell r="W51">
            <v>0</v>
          </cell>
          <cell r="X51">
            <v>0</v>
          </cell>
          <cell r="Y51">
            <v>0</v>
          </cell>
          <cell r="Z51">
            <v>1799.4999999878928</v>
          </cell>
        </row>
        <row r="52">
          <cell r="C52" t="str">
            <v>EDİRNE</v>
          </cell>
          <cell r="D52" t="str">
            <v>ENEZ</v>
          </cell>
          <cell r="H52" t="str">
            <v>Dağıtım-AG</v>
          </cell>
          <cell r="I52" t="str">
            <v>Uzun</v>
          </cell>
          <cell r="J52" t="str">
            <v>Şebeke işletmecisi</v>
          </cell>
          <cell r="K52" t="str">
            <v>Bildirimli</v>
          </cell>
          <cell r="O52">
            <v>0</v>
          </cell>
          <cell r="P52">
            <v>0</v>
          </cell>
          <cell r="Q52">
            <v>0</v>
          </cell>
          <cell r="R52">
            <v>284</v>
          </cell>
          <cell r="S52">
            <v>0</v>
          </cell>
          <cell r="T52">
            <v>8</v>
          </cell>
          <cell r="U52">
            <v>0</v>
          </cell>
          <cell r="V52">
            <v>0</v>
          </cell>
          <cell r="W52">
            <v>0</v>
          </cell>
          <cell r="X52">
            <v>102211.59999931231</v>
          </cell>
          <cell r="Y52">
            <v>0</v>
          </cell>
          <cell r="Z52">
            <v>2879.1999999806285</v>
          </cell>
        </row>
        <row r="53">
          <cell r="C53" t="str">
            <v>TEKİRDAĞ</v>
          </cell>
          <cell r="D53" t="str">
            <v>MURATLI</v>
          </cell>
          <cell r="H53" t="str">
            <v>Dağıtım-AG</v>
          </cell>
          <cell r="I53" t="str">
            <v>Uzun</v>
          </cell>
          <cell r="J53" t="str">
            <v>Şebeke işletmecisi</v>
          </cell>
          <cell r="K53" t="str">
            <v>Bildirimli</v>
          </cell>
          <cell r="O53">
            <v>0</v>
          </cell>
          <cell r="P53">
            <v>23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8277.6999999443069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 t="str">
            <v>EDİRNE</v>
          </cell>
          <cell r="D54" t="str">
            <v>ENEZ</v>
          </cell>
          <cell r="H54" t="str">
            <v>Dağıtım-AG</v>
          </cell>
          <cell r="I54" t="str">
            <v>Uzun</v>
          </cell>
          <cell r="J54" t="str">
            <v>Şebeke işletmecisi</v>
          </cell>
          <cell r="K54" t="str">
            <v>Bildirimli</v>
          </cell>
          <cell r="O54">
            <v>0</v>
          </cell>
          <cell r="P54">
            <v>0</v>
          </cell>
          <cell r="Q54">
            <v>0</v>
          </cell>
          <cell r="R54">
            <v>459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165178.80000012112</v>
          </cell>
          <cell r="Y54">
            <v>0</v>
          </cell>
          <cell r="Z54">
            <v>359.86666666693054</v>
          </cell>
        </row>
        <row r="55">
          <cell r="C55" t="str">
            <v>KIRKLARELİ</v>
          </cell>
          <cell r="D55" t="str">
            <v>BABAESKİ</v>
          </cell>
          <cell r="H55" t="str">
            <v>Dağıtım-OG</v>
          </cell>
          <cell r="I55" t="str">
            <v>Uzun</v>
          </cell>
          <cell r="J55" t="str">
            <v>Şebeke işletmecisi</v>
          </cell>
          <cell r="K55" t="str">
            <v>Bildirimli</v>
          </cell>
          <cell r="O55">
            <v>5</v>
          </cell>
          <cell r="P55">
            <v>7</v>
          </cell>
          <cell r="Q55">
            <v>19</v>
          </cell>
          <cell r="R55">
            <v>1896</v>
          </cell>
          <cell r="S55">
            <v>25</v>
          </cell>
          <cell r="T55">
            <v>2101</v>
          </cell>
          <cell r="U55">
            <v>1795.2499999897555</v>
          </cell>
          <cell r="V55">
            <v>2513.3499999856576</v>
          </cell>
          <cell r="W55">
            <v>6821.9499999610707</v>
          </cell>
          <cell r="X55">
            <v>680758.79999611527</v>
          </cell>
          <cell r="Y55">
            <v>8976.2499999487773</v>
          </cell>
          <cell r="Z55">
            <v>754364.04999569524</v>
          </cell>
        </row>
        <row r="56">
          <cell r="C56" t="str">
            <v>TEKİRDAĞ</v>
          </cell>
          <cell r="D56" t="str">
            <v>KAPAKLI</v>
          </cell>
          <cell r="H56" t="str">
            <v>Dağıtım-OG</v>
          </cell>
          <cell r="I56" t="str">
            <v>Uzun</v>
          </cell>
          <cell r="J56" t="str">
            <v>Şebeke işletmecisi</v>
          </cell>
          <cell r="K56" t="str">
            <v>Bildirimli</v>
          </cell>
          <cell r="O56">
            <v>1</v>
          </cell>
          <cell r="P56">
            <v>1115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356.66666667326353</v>
          </cell>
          <cell r="V56">
            <v>397683.33334068884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 t="str">
            <v>TEKİRDAĞ</v>
          </cell>
          <cell r="D57" t="str">
            <v>ÇORLU</v>
          </cell>
          <cell r="H57" t="str">
            <v>Dağıtım-AG</v>
          </cell>
          <cell r="I57" t="str">
            <v>Uzun</v>
          </cell>
          <cell r="J57" t="str">
            <v>Şebeke işletmecisi</v>
          </cell>
          <cell r="K57" t="str">
            <v>Bildirimsiz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167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59502.100000785431</v>
          </cell>
        </row>
        <row r="58">
          <cell r="C58" t="str">
            <v>EDİRNE</v>
          </cell>
          <cell r="D58" t="str">
            <v>ENEZ</v>
          </cell>
          <cell r="H58" t="str">
            <v>Dağıtım-AG</v>
          </cell>
          <cell r="I58" t="str">
            <v>Uzun</v>
          </cell>
          <cell r="J58" t="str">
            <v>Şebeke işletmecisi</v>
          </cell>
          <cell r="K58" t="str">
            <v>Bildirimli</v>
          </cell>
          <cell r="O58">
            <v>0</v>
          </cell>
          <cell r="P58">
            <v>0</v>
          </cell>
          <cell r="Q58">
            <v>0</v>
          </cell>
          <cell r="R58">
            <v>259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91500.383333723294</v>
          </cell>
          <cell r="Y58">
            <v>0</v>
          </cell>
          <cell r="Z58">
            <v>0</v>
          </cell>
        </row>
        <row r="59">
          <cell r="C59" t="str">
            <v>TEKİRDAĞ</v>
          </cell>
          <cell r="D59" t="str">
            <v>SARAY</v>
          </cell>
          <cell r="H59" t="str">
            <v>Dağıtım-AG</v>
          </cell>
          <cell r="I59" t="str">
            <v>Uzun</v>
          </cell>
          <cell r="J59" t="str">
            <v>Şebeke işletmecisi</v>
          </cell>
          <cell r="K59" t="str">
            <v>Bildirimli</v>
          </cell>
          <cell r="O59">
            <v>0</v>
          </cell>
          <cell r="P59">
            <v>0</v>
          </cell>
          <cell r="Q59">
            <v>0</v>
          </cell>
          <cell r="R59">
            <v>121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42670.650000016904</v>
          </cell>
          <cell r="Y59">
            <v>0</v>
          </cell>
          <cell r="Z59">
            <v>0</v>
          </cell>
        </row>
        <row r="60">
          <cell r="C60" t="str">
            <v>EDİRNE</v>
          </cell>
          <cell r="D60" t="str">
            <v>HAVSA</v>
          </cell>
          <cell r="H60" t="str">
            <v>Dağıtım-OG</v>
          </cell>
          <cell r="I60" t="str">
            <v>Uzun</v>
          </cell>
          <cell r="J60" t="str">
            <v>Şebeke İşletmecisi</v>
          </cell>
          <cell r="K60" t="str">
            <v>Bildirimsiz</v>
          </cell>
          <cell r="O60">
            <v>0</v>
          </cell>
          <cell r="P60">
            <v>0</v>
          </cell>
          <cell r="Q60">
            <v>3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1055.4500000132248</v>
          </cell>
          <cell r="X60">
            <v>0</v>
          </cell>
          <cell r="Y60">
            <v>0</v>
          </cell>
          <cell r="Z60">
            <v>0</v>
          </cell>
        </row>
        <row r="61">
          <cell r="C61" t="str">
            <v>TEKİRDAĞ</v>
          </cell>
          <cell r="D61" t="str">
            <v>HAYRABOLU</v>
          </cell>
          <cell r="H61" t="str">
            <v>Dağıtım-AG</v>
          </cell>
          <cell r="I61" t="str">
            <v>Uzun</v>
          </cell>
          <cell r="J61" t="str">
            <v>Şebeke işletmecisi</v>
          </cell>
          <cell r="K61" t="str">
            <v>Bildirimli</v>
          </cell>
          <cell r="O61">
            <v>0</v>
          </cell>
          <cell r="P61">
            <v>55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19277.500000025611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 t="str">
            <v>EDİRNE</v>
          </cell>
          <cell r="D62" t="str">
            <v>SÜLOĞLU</v>
          </cell>
          <cell r="H62" t="str">
            <v>Dağıtım-AG</v>
          </cell>
          <cell r="I62" t="str">
            <v>Uzun</v>
          </cell>
          <cell r="J62" t="str">
            <v>Şebeke işletmecisi</v>
          </cell>
          <cell r="K62" t="str">
            <v>Bildirimli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24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8376.0000001452863</v>
          </cell>
        </row>
        <row r="63">
          <cell r="C63" t="str">
            <v>KIRKLARELİ</v>
          </cell>
          <cell r="D63" t="str">
            <v>BABAESKİ</v>
          </cell>
          <cell r="H63" t="str">
            <v>Dağıtım-AG</v>
          </cell>
          <cell r="I63" t="str">
            <v>Uzun</v>
          </cell>
          <cell r="J63" t="str">
            <v>Şebeke işletmecisi</v>
          </cell>
          <cell r="K63" t="str">
            <v>Bildirimsiz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52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18120.26666703634</v>
          </cell>
        </row>
        <row r="64">
          <cell r="C64" t="str">
            <v>TEKİRDAĞ</v>
          </cell>
          <cell r="D64" t="str">
            <v>KAPAKLI</v>
          </cell>
          <cell r="H64" t="str">
            <v>Dağıtım-OG</v>
          </cell>
          <cell r="I64" t="str">
            <v>Uzun</v>
          </cell>
          <cell r="J64" t="str">
            <v>Şebeke işletmecisi</v>
          </cell>
          <cell r="K64" t="str">
            <v>Bildirimsiz</v>
          </cell>
          <cell r="O64">
            <v>0</v>
          </cell>
          <cell r="P64">
            <v>545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188688.08333035558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 t="str">
            <v>TEKİRDAĞ</v>
          </cell>
          <cell r="D65" t="str">
            <v>ERGENE</v>
          </cell>
          <cell r="H65" t="str">
            <v>Dağıtım-OG</v>
          </cell>
          <cell r="I65" t="str">
            <v>Uzun</v>
          </cell>
          <cell r="J65" t="str">
            <v>Şebeke işletmecisi</v>
          </cell>
          <cell r="K65" t="str">
            <v>Bildirimli</v>
          </cell>
          <cell r="O65">
            <v>18</v>
          </cell>
          <cell r="P65">
            <v>0</v>
          </cell>
          <cell r="Q65">
            <v>0</v>
          </cell>
          <cell r="R65">
            <v>0</v>
          </cell>
          <cell r="S65">
            <v>3</v>
          </cell>
          <cell r="T65">
            <v>0</v>
          </cell>
          <cell r="U65">
            <v>6203.7000000989065</v>
          </cell>
          <cell r="V65">
            <v>0</v>
          </cell>
          <cell r="W65">
            <v>0</v>
          </cell>
          <cell r="X65">
            <v>0</v>
          </cell>
          <cell r="Y65">
            <v>1033.9500000164844</v>
          </cell>
          <cell r="Z65">
            <v>0</v>
          </cell>
        </row>
        <row r="66">
          <cell r="C66" t="str">
            <v>EDİRNE</v>
          </cell>
          <cell r="D66" t="str">
            <v>KEŞAN</v>
          </cell>
          <cell r="H66" t="str">
            <v>Dağıtım-AG</v>
          </cell>
          <cell r="I66" t="str">
            <v>Uzun</v>
          </cell>
          <cell r="J66" t="str">
            <v>Şebeke işletmecisi</v>
          </cell>
          <cell r="K66" t="str">
            <v>Bildirimsiz</v>
          </cell>
          <cell r="O66">
            <v>0</v>
          </cell>
          <cell r="P66">
            <v>15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5090.7500000030268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 t="str">
            <v>KIRKLARELİ</v>
          </cell>
          <cell r="D67" t="str">
            <v>DEMİRKÖY</v>
          </cell>
          <cell r="H67" t="str">
            <v>Dağıtım-OG</v>
          </cell>
          <cell r="I67" t="str">
            <v>Uzun</v>
          </cell>
          <cell r="J67" t="str">
            <v>Şebeke işletmecisi</v>
          </cell>
          <cell r="K67" t="str">
            <v>Bildirimsiz</v>
          </cell>
          <cell r="O67">
            <v>0</v>
          </cell>
          <cell r="P67">
            <v>0</v>
          </cell>
          <cell r="Q67">
            <v>3</v>
          </cell>
          <cell r="R67">
            <v>2</v>
          </cell>
          <cell r="S67">
            <v>7</v>
          </cell>
          <cell r="T67">
            <v>109</v>
          </cell>
          <cell r="U67">
            <v>0</v>
          </cell>
          <cell r="V67">
            <v>0</v>
          </cell>
          <cell r="W67">
            <v>1010.1999999966938</v>
          </cell>
          <cell r="X67">
            <v>673.46666666446254</v>
          </cell>
          <cell r="Y67">
            <v>2357.1333333256189</v>
          </cell>
          <cell r="Z67">
            <v>36703.933333213208</v>
          </cell>
        </row>
        <row r="68">
          <cell r="C68" t="str">
            <v>EDİRNE</v>
          </cell>
          <cell r="D68" t="str">
            <v>ENEZ</v>
          </cell>
          <cell r="H68" t="str">
            <v>Dağıtım-AG</v>
          </cell>
          <cell r="I68" t="str">
            <v>Uzun</v>
          </cell>
          <cell r="J68" t="str">
            <v>Şebeke işletmecisi</v>
          </cell>
          <cell r="K68" t="str">
            <v>Bildirimli</v>
          </cell>
          <cell r="O68">
            <v>0</v>
          </cell>
          <cell r="P68">
            <v>0</v>
          </cell>
          <cell r="Q68">
            <v>0</v>
          </cell>
          <cell r="R68">
            <v>531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177911.55000187922</v>
          </cell>
          <cell r="Y68">
            <v>0</v>
          </cell>
          <cell r="Z68">
            <v>0</v>
          </cell>
        </row>
        <row r="69">
          <cell r="C69" t="str">
            <v>EDİRNE</v>
          </cell>
          <cell r="D69" t="str">
            <v>KEŞAN</v>
          </cell>
          <cell r="H69" t="str">
            <v>Dağıtım-OG</v>
          </cell>
          <cell r="I69" t="str">
            <v>Uzun</v>
          </cell>
          <cell r="J69" t="str">
            <v>Şebeke işletmecisi</v>
          </cell>
          <cell r="K69" t="str">
            <v>Bildirimli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</v>
          </cell>
          <cell r="T69">
            <v>280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333.8166666647885</v>
          </cell>
          <cell r="Z69">
            <v>93468.66666614078</v>
          </cell>
        </row>
        <row r="70">
          <cell r="C70" t="str">
            <v>EDİRNE</v>
          </cell>
          <cell r="D70" t="str">
            <v>UZUNKÖPRÜ</v>
          </cell>
          <cell r="H70" t="str">
            <v>Dağıtım-AG</v>
          </cell>
          <cell r="I70" t="str">
            <v>Uzun</v>
          </cell>
          <cell r="J70" t="str">
            <v>Şebeke işletmecisi</v>
          </cell>
          <cell r="K70" t="str">
            <v>Bildirimli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178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59235.433332896791</v>
          </cell>
        </row>
        <row r="71">
          <cell r="C71" t="str">
            <v>EDİRNE</v>
          </cell>
          <cell r="D71" t="str">
            <v>ENEZ</v>
          </cell>
          <cell r="H71" t="str">
            <v>Dağıtım-OG</v>
          </cell>
          <cell r="I71" t="str">
            <v>Uzun</v>
          </cell>
          <cell r="J71" t="str">
            <v>Şebeke işletmecisi</v>
          </cell>
          <cell r="K71" t="str">
            <v>Bildirimli</v>
          </cell>
          <cell r="O71">
            <v>0</v>
          </cell>
          <cell r="P71">
            <v>0</v>
          </cell>
          <cell r="Q71">
            <v>0</v>
          </cell>
          <cell r="R71">
            <v>164</v>
          </cell>
          <cell r="S71">
            <v>0</v>
          </cell>
          <cell r="T71">
            <v>3</v>
          </cell>
          <cell r="U71">
            <v>0</v>
          </cell>
          <cell r="V71">
            <v>0</v>
          </cell>
          <cell r="W71">
            <v>0</v>
          </cell>
          <cell r="X71">
            <v>54510.866666394286</v>
          </cell>
          <cell r="Y71">
            <v>0</v>
          </cell>
          <cell r="Z71">
            <v>997.14999999501742</v>
          </cell>
        </row>
        <row r="72">
          <cell r="C72" t="str">
            <v>KIRKLARELİ</v>
          </cell>
          <cell r="D72" t="str">
            <v>BABAESKİ</v>
          </cell>
          <cell r="H72" t="str">
            <v>Dağıtım-AG</v>
          </cell>
          <cell r="I72" t="str">
            <v>Uzun</v>
          </cell>
          <cell r="J72" t="str">
            <v>Şebeke işletmecisi</v>
          </cell>
          <cell r="K72" t="str">
            <v>Bildirimli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67124.599999962375</v>
          </cell>
        </row>
        <row r="73">
          <cell r="C73" t="str">
            <v>EDİRNE</v>
          </cell>
          <cell r="D73" t="str">
            <v>KEŞAN</v>
          </cell>
          <cell r="H73" t="str">
            <v>Dağıtım-AG</v>
          </cell>
          <cell r="I73" t="str">
            <v>Uzun</v>
          </cell>
          <cell r="J73" t="str">
            <v>Şebeke işletmecisi</v>
          </cell>
          <cell r="K73" t="str">
            <v>Bildirimli</v>
          </cell>
          <cell r="O73">
            <v>0</v>
          </cell>
          <cell r="P73">
            <v>146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48362.499999320135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 t="str">
            <v>TEKİRDAĞ</v>
          </cell>
          <cell r="D74" t="str">
            <v>ÇORLU</v>
          </cell>
          <cell r="H74" t="str">
            <v>Dağıtım-OG</v>
          </cell>
          <cell r="I74" t="str">
            <v>Uzun</v>
          </cell>
          <cell r="J74" t="str">
            <v>Şebeke işletmecisi</v>
          </cell>
          <cell r="K74" t="str">
            <v>Bildirimli</v>
          </cell>
          <cell r="O74">
            <v>4</v>
          </cell>
          <cell r="P74">
            <v>7</v>
          </cell>
          <cell r="Q74">
            <v>0</v>
          </cell>
          <cell r="R74">
            <v>0</v>
          </cell>
          <cell r="S74">
            <v>32</v>
          </cell>
          <cell r="T74">
            <v>906</v>
          </cell>
          <cell r="U74">
            <v>1319.6666666585952</v>
          </cell>
          <cell r="V74">
            <v>2309.4166666525416</v>
          </cell>
          <cell r="W74">
            <v>0</v>
          </cell>
          <cell r="X74">
            <v>0</v>
          </cell>
          <cell r="Y74">
            <v>10557.333333268762</v>
          </cell>
          <cell r="Z74">
            <v>298904.49999817181</v>
          </cell>
        </row>
        <row r="75">
          <cell r="C75" t="str">
            <v>KIRKLARELİ</v>
          </cell>
          <cell r="D75" t="str">
            <v>BABAESKİ</v>
          </cell>
          <cell r="H75" t="str">
            <v>Dağıtım-AG</v>
          </cell>
          <cell r="I75" t="str">
            <v>Uzun</v>
          </cell>
          <cell r="J75" t="str">
            <v>Şebeke işletmecisi</v>
          </cell>
          <cell r="K75" t="str">
            <v>Bildirimli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140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45896.666667144746</v>
          </cell>
        </row>
        <row r="76">
          <cell r="C76" t="str">
            <v>EDİRNE</v>
          </cell>
          <cell r="D76" t="str">
            <v>HAVSA</v>
          </cell>
          <cell r="H76" t="str">
            <v>Dağıtım-OG</v>
          </cell>
          <cell r="I76" t="str">
            <v>Uzun</v>
          </cell>
          <cell r="J76" t="str">
            <v>Şebeke işletmecisi</v>
          </cell>
          <cell r="K76" t="str">
            <v>Bildirimsiz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653.70000000810251</v>
          </cell>
          <cell r="Z76">
            <v>326.85000000405125</v>
          </cell>
        </row>
        <row r="77">
          <cell r="C77" t="str">
            <v>EDİRNE</v>
          </cell>
          <cell r="D77" t="str">
            <v>KEŞAN</v>
          </cell>
          <cell r="H77" t="str">
            <v>Dağıtım-OG</v>
          </cell>
          <cell r="I77" t="str">
            <v>Uzun</v>
          </cell>
          <cell r="J77" t="str">
            <v>Şebeke işletmecisi</v>
          </cell>
          <cell r="K77" t="str">
            <v>Bildirimli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4</v>
          </cell>
          <cell r="T77">
            <v>319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1295.5999999819323</v>
          </cell>
          <cell r="Z77">
            <v>103324.0999985591</v>
          </cell>
        </row>
        <row r="78">
          <cell r="C78" t="str">
            <v>KIRKLARELİ</v>
          </cell>
          <cell r="D78" t="str">
            <v>BABAESKİ</v>
          </cell>
          <cell r="H78" t="str">
            <v>Dağıtım-OG</v>
          </cell>
          <cell r="I78" t="str">
            <v>Uzun</v>
          </cell>
          <cell r="J78" t="str">
            <v>Şebeke işletmecisi</v>
          </cell>
          <cell r="K78" t="str">
            <v>Bildirimli</v>
          </cell>
          <cell r="O78">
            <v>2</v>
          </cell>
          <cell r="P78">
            <v>0</v>
          </cell>
          <cell r="Q78">
            <v>0</v>
          </cell>
          <cell r="R78">
            <v>1</v>
          </cell>
          <cell r="S78">
            <v>23</v>
          </cell>
          <cell r="T78">
            <v>1618</v>
          </cell>
          <cell r="U78">
            <v>646.79999998770654</v>
          </cell>
          <cell r="V78">
            <v>0</v>
          </cell>
          <cell r="W78">
            <v>0</v>
          </cell>
          <cell r="X78">
            <v>323.39999999385327</v>
          </cell>
          <cell r="Y78">
            <v>7438.1999998586252</v>
          </cell>
          <cell r="Z78">
            <v>523261.19999005459</v>
          </cell>
        </row>
        <row r="79">
          <cell r="C79" t="str">
            <v>KIRKLARELİ</v>
          </cell>
          <cell r="D79" t="str">
            <v>BABAESKİ</v>
          </cell>
          <cell r="H79" t="str">
            <v>Dağıtım-AG</v>
          </cell>
          <cell r="I79" t="str">
            <v>Uzun</v>
          </cell>
          <cell r="J79" t="str">
            <v>Şebeke işletmecisi</v>
          </cell>
          <cell r="K79" t="str">
            <v>Bildirimli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147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47454.050000613788</v>
          </cell>
        </row>
        <row r="80">
          <cell r="C80" t="str">
            <v>KIRKLARELİ</v>
          </cell>
          <cell r="D80" t="str">
            <v>LÜLEBURGAZ</v>
          </cell>
          <cell r="H80" t="str">
            <v>Dağıtım-OG</v>
          </cell>
          <cell r="I80" t="str">
            <v>Uzun</v>
          </cell>
          <cell r="J80" t="str">
            <v>Dışsal</v>
          </cell>
          <cell r="K80" t="str">
            <v>Bildirimsiz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322.00000000186265</v>
          </cell>
          <cell r="X80">
            <v>0</v>
          </cell>
          <cell r="Y80">
            <v>0</v>
          </cell>
          <cell r="Z80">
            <v>0</v>
          </cell>
        </row>
        <row r="81">
          <cell r="C81" t="str">
            <v>KIRKLARELİ</v>
          </cell>
          <cell r="D81" t="str">
            <v>BABAESKİ</v>
          </cell>
          <cell r="H81" t="str">
            <v>Dağıtım-AG</v>
          </cell>
          <cell r="I81" t="str">
            <v>Uzun</v>
          </cell>
          <cell r="J81" t="str">
            <v>Şebeke işletmecisi</v>
          </cell>
          <cell r="K81" t="str">
            <v>Bildirimli</v>
          </cell>
          <cell r="O81">
            <v>0</v>
          </cell>
          <cell r="P81">
            <v>2</v>
          </cell>
          <cell r="Q81">
            <v>0</v>
          </cell>
          <cell r="R81">
            <v>0</v>
          </cell>
          <cell r="S81">
            <v>0</v>
          </cell>
          <cell r="T81">
            <v>290</v>
          </cell>
          <cell r="U81">
            <v>0</v>
          </cell>
          <cell r="V81">
            <v>633.73333332594484</v>
          </cell>
          <cell r="W81">
            <v>0</v>
          </cell>
          <cell r="X81">
            <v>0</v>
          </cell>
          <cell r="Y81">
            <v>0</v>
          </cell>
          <cell r="Z81">
            <v>91891.333332262002</v>
          </cell>
        </row>
        <row r="82">
          <cell r="C82" t="str">
            <v>EDİRNE</v>
          </cell>
          <cell r="D82" t="str">
            <v>İPSALA</v>
          </cell>
          <cell r="H82" t="str">
            <v>Dağıtım-AG</v>
          </cell>
          <cell r="I82" t="str">
            <v>Uzun</v>
          </cell>
          <cell r="J82" t="str">
            <v>Şebeke işletmecisi</v>
          </cell>
          <cell r="K82" t="str">
            <v>Bildirimsiz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27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8554.9500000779517</v>
          </cell>
        </row>
        <row r="83">
          <cell r="C83" t="str">
            <v>KIRKLARELİ</v>
          </cell>
          <cell r="D83" t="str">
            <v>KIRKLARELİMERKEZ</v>
          </cell>
          <cell r="H83" t="str">
            <v>Dağıtım-OG</v>
          </cell>
          <cell r="I83" t="str">
            <v>Uzun</v>
          </cell>
          <cell r="J83" t="str">
            <v>Şebeke işletmecisi</v>
          </cell>
          <cell r="K83" t="str">
            <v>Bildirimsiz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</v>
          </cell>
          <cell r="T83">
            <v>281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316.43333333311602</v>
          </cell>
          <cell r="Z83">
            <v>88917.766666605603</v>
          </cell>
        </row>
        <row r="84">
          <cell r="C84" t="str">
            <v>EDİRNE</v>
          </cell>
          <cell r="D84" t="str">
            <v>UZUNKÖPRÜ</v>
          </cell>
          <cell r="H84" t="str">
            <v>Dağıtım-OG</v>
          </cell>
          <cell r="I84" t="str">
            <v>Uzun</v>
          </cell>
          <cell r="J84" t="str">
            <v>Şebeke işletmecisi</v>
          </cell>
          <cell r="K84" t="str">
            <v>Bildirimsiz</v>
          </cell>
          <cell r="O84">
            <v>2</v>
          </cell>
          <cell r="P84">
            <v>10</v>
          </cell>
          <cell r="Q84">
            <v>0</v>
          </cell>
          <cell r="R84">
            <v>0</v>
          </cell>
          <cell r="S84">
            <v>5</v>
          </cell>
          <cell r="T84">
            <v>1002</v>
          </cell>
          <cell r="U84">
            <v>632.43333333637565</v>
          </cell>
          <cell r="V84">
            <v>3162.1666666818783</v>
          </cell>
          <cell r="W84">
            <v>0</v>
          </cell>
          <cell r="X84">
            <v>0</v>
          </cell>
          <cell r="Y84">
            <v>1581.0833333409391</v>
          </cell>
          <cell r="Z84">
            <v>316849.1000015242</v>
          </cell>
        </row>
        <row r="85">
          <cell r="C85" t="str">
            <v>KIRKLARELİ</v>
          </cell>
          <cell r="D85" t="str">
            <v>KOFÇAZ</v>
          </cell>
          <cell r="H85" t="str">
            <v>Dağıtım-OG</v>
          </cell>
          <cell r="I85" t="str">
            <v>Uzun</v>
          </cell>
          <cell r="J85" t="str">
            <v>Şebeke işletmecisi</v>
          </cell>
          <cell r="K85" t="str">
            <v>Bildirimsiz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</v>
          </cell>
          <cell r="T85">
            <v>178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1261.1999999871477</v>
          </cell>
          <cell r="Z85">
            <v>56123.399999428075</v>
          </cell>
        </row>
        <row r="86">
          <cell r="C86" t="str">
            <v>TEKİRDAĞ</v>
          </cell>
          <cell r="D86" t="str">
            <v>SÜLEYMANPAŞA</v>
          </cell>
          <cell r="H86" t="str">
            <v>Dağıtım-AG</v>
          </cell>
          <cell r="I86" t="str">
            <v>Uzun</v>
          </cell>
          <cell r="J86" t="str">
            <v>Şebeke işletmecisi</v>
          </cell>
          <cell r="K86" t="str">
            <v>Bildirimsiz</v>
          </cell>
          <cell r="O86">
            <v>0</v>
          </cell>
          <cell r="P86">
            <v>18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5618.9999999594875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C87" t="str">
            <v>KIRKLARELİ</v>
          </cell>
          <cell r="D87" t="str">
            <v>KIRKLARELİMERKEZ</v>
          </cell>
          <cell r="H87" t="str">
            <v>Dağıtım-AG</v>
          </cell>
          <cell r="I87" t="str">
            <v>Uzun</v>
          </cell>
          <cell r="J87" t="str">
            <v>Şebeke işletmecisi</v>
          </cell>
          <cell r="K87" t="str">
            <v>Bildirimsiz</v>
          </cell>
          <cell r="O87">
            <v>0</v>
          </cell>
          <cell r="P87">
            <v>51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15917.950000357814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C88" t="str">
            <v>KIRKLARELİ</v>
          </cell>
          <cell r="D88" t="str">
            <v>VİZE</v>
          </cell>
          <cell r="H88" t="str">
            <v>İletim</v>
          </cell>
          <cell r="I88" t="str">
            <v>Uzun</v>
          </cell>
          <cell r="J88" t="str">
            <v>Şebeke işletmecisi</v>
          </cell>
          <cell r="K88" t="str">
            <v>Bildirimli</v>
          </cell>
          <cell r="O88">
            <v>0</v>
          </cell>
          <cell r="P88">
            <v>13</v>
          </cell>
          <cell r="Q88">
            <v>7</v>
          </cell>
          <cell r="R88">
            <v>0</v>
          </cell>
          <cell r="S88">
            <v>39</v>
          </cell>
          <cell r="T88">
            <v>2064</v>
          </cell>
          <cell r="U88">
            <v>0</v>
          </cell>
          <cell r="V88">
            <v>4051.0166666004807</v>
          </cell>
          <cell r="W88">
            <v>2181.3166666310281</v>
          </cell>
          <cell r="X88">
            <v>0</v>
          </cell>
          <cell r="Y88">
            <v>12153.049999801442</v>
          </cell>
          <cell r="Z88">
            <v>643176.7999894917</v>
          </cell>
        </row>
        <row r="89">
          <cell r="C89" t="str">
            <v>TEKİRDAĞ</v>
          </cell>
          <cell r="D89" t="str">
            <v>SARAY</v>
          </cell>
          <cell r="H89" t="str">
            <v>Dağıtım-OG</v>
          </cell>
          <cell r="I89" t="str">
            <v>Uzun</v>
          </cell>
          <cell r="J89" t="str">
            <v>Şebeke işletmecisi</v>
          </cell>
          <cell r="K89" t="str">
            <v>Bildirimsiz</v>
          </cell>
          <cell r="O89">
            <v>0</v>
          </cell>
          <cell r="P89">
            <v>0</v>
          </cell>
          <cell r="Q89">
            <v>0</v>
          </cell>
          <cell r="R89">
            <v>250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77749.999999359716</v>
          </cell>
          <cell r="Y89">
            <v>0</v>
          </cell>
          <cell r="Z89">
            <v>0</v>
          </cell>
        </row>
        <row r="90">
          <cell r="C90" t="str">
            <v>EDİRNE</v>
          </cell>
          <cell r="D90" t="str">
            <v>KEŞAN</v>
          </cell>
          <cell r="H90" t="str">
            <v>Dağıtım-AG</v>
          </cell>
          <cell r="I90" t="str">
            <v>Uzun</v>
          </cell>
          <cell r="J90" t="str">
            <v>Şebeke işletmecisi</v>
          </cell>
          <cell r="K90" t="str">
            <v>Bildirimsiz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309.6833333268296</v>
          </cell>
        </row>
        <row r="91">
          <cell r="C91" t="str">
            <v>TEKİRDAĞ</v>
          </cell>
          <cell r="D91" t="str">
            <v>SARAY</v>
          </cell>
          <cell r="H91" t="str">
            <v>Dağıtım-OG</v>
          </cell>
          <cell r="I91" t="str">
            <v>Uzun</v>
          </cell>
          <cell r="J91" t="str">
            <v>Şebeke işletmecisi</v>
          </cell>
          <cell r="K91" t="str">
            <v>Bildirimli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323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99693.950001097983</v>
          </cell>
        </row>
        <row r="92">
          <cell r="C92" t="str">
            <v>EDİRNE</v>
          </cell>
          <cell r="D92" t="str">
            <v>EDİRNEMERKEZ</v>
          </cell>
          <cell r="H92" t="str">
            <v>Dağıtım-OG</v>
          </cell>
          <cell r="I92" t="str">
            <v>Uzun</v>
          </cell>
          <cell r="J92" t="str">
            <v>Şebeke işletmecisi</v>
          </cell>
          <cell r="K92" t="str">
            <v>Bildirimsiz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3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924.24999998998828</v>
          </cell>
          <cell r="Z92">
            <v>0</v>
          </cell>
        </row>
        <row r="93">
          <cell r="C93" t="str">
            <v>TEKİRDAĞ</v>
          </cell>
          <cell r="D93" t="str">
            <v>MARMARAEREĞLİSİ</v>
          </cell>
          <cell r="H93" t="str">
            <v>Dağıtım-AG</v>
          </cell>
          <cell r="I93" t="str">
            <v>Uzun</v>
          </cell>
          <cell r="J93" t="str">
            <v>Şebeke işletmecisi</v>
          </cell>
          <cell r="K93" t="str">
            <v>Bildirimsiz</v>
          </cell>
          <cell r="O93">
            <v>0</v>
          </cell>
          <cell r="P93">
            <v>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1531.8333333008923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C94" t="str">
            <v>TEKİRDAĞ</v>
          </cell>
          <cell r="D94" t="str">
            <v>SÜLEYMANPAŞA</v>
          </cell>
          <cell r="H94" t="str">
            <v>Dağıtım-AG</v>
          </cell>
          <cell r="I94" t="str">
            <v>Uzun</v>
          </cell>
          <cell r="J94" t="str">
            <v>Şebeke işletmecisi</v>
          </cell>
          <cell r="K94" t="str">
            <v>Bildirimli</v>
          </cell>
          <cell r="O94">
            <v>0</v>
          </cell>
          <cell r="P94">
            <v>71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21746.1166663107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C95" t="str">
            <v>TEKİRDAĞ</v>
          </cell>
          <cell r="D95" t="str">
            <v>SÜLEYMANPAŞA</v>
          </cell>
          <cell r="H95" t="str">
            <v>Dağıtım-AG</v>
          </cell>
          <cell r="I95" t="str">
            <v>Uzun</v>
          </cell>
          <cell r="J95" t="str">
            <v>Şebeke işletmecisi</v>
          </cell>
          <cell r="K95" t="str">
            <v>Bildirimsiz</v>
          </cell>
          <cell r="O95">
            <v>0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609.93333333637565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>KIRKLARELİ</v>
          </cell>
          <cell r="D96" t="str">
            <v>BABAESKİ</v>
          </cell>
          <cell r="H96" t="str">
            <v>Dağıtım-AG</v>
          </cell>
          <cell r="I96" t="str">
            <v>Uzun</v>
          </cell>
          <cell r="J96" t="str">
            <v>Şebeke işletmecisi</v>
          </cell>
          <cell r="K96" t="str">
            <v>Bildirimli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53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16106.700000192504</v>
          </cell>
        </row>
        <row r="97">
          <cell r="C97" t="str">
            <v>TEKİRDAĞ</v>
          </cell>
          <cell r="D97" t="str">
            <v>KAPAKLI</v>
          </cell>
          <cell r="H97" t="str">
            <v>Dağıtım-OG</v>
          </cell>
          <cell r="I97" t="str">
            <v>Uzun</v>
          </cell>
          <cell r="J97" t="str">
            <v>Şebeke işletmecisi</v>
          </cell>
          <cell r="K97" t="str">
            <v>Bildirimli</v>
          </cell>
          <cell r="O97">
            <v>2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604.29999998537824</v>
          </cell>
          <cell r="V97">
            <v>302.14999999268912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C98" t="str">
            <v>TEKİRDAĞ</v>
          </cell>
          <cell r="D98" t="str">
            <v>SÜLEYMANPAŞA</v>
          </cell>
          <cell r="H98" t="str">
            <v>Dağıtım-AG</v>
          </cell>
          <cell r="I98" t="str">
            <v>Uzun</v>
          </cell>
          <cell r="J98" t="str">
            <v>Şebeke işletmecisi</v>
          </cell>
          <cell r="K98" t="str">
            <v>Bildirimsiz</v>
          </cell>
          <cell r="O98">
            <v>0</v>
          </cell>
          <cell r="P98">
            <v>54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16281.90000009723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C99" t="str">
            <v>TEKİRDAĞ</v>
          </cell>
          <cell r="D99" t="str">
            <v>MARMARAEREĞLİSİ</v>
          </cell>
          <cell r="H99" t="str">
            <v>Dağıtım-AG</v>
          </cell>
          <cell r="I99" t="str">
            <v>Uzun</v>
          </cell>
          <cell r="J99" t="str">
            <v>Şebeke işletmecisi</v>
          </cell>
          <cell r="K99" t="str">
            <v>Bildirimsiz</v>
          </cell>
          <cell r="O99">
            <v>0</v>
          </cell>
          <cell r="P99">
            <v>22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6615.0333332363516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C100" t="str">
            <v>TEKİRDAĞ</v>
          </cell>
          <cell r="D100" t="str">
            <v>MARMARAEREĞLİSİ</v>
          </cell>
          <cell r="H100" t="str">
            <v>Dağıtım-AG</v>
          </cell>
          <cell r="I100" t="str">
            <v>Uzun</v>
          </cell>
          <cell r="J100" t="str">
            <v>Şebeke işletmecisi</v>
          </cell>
          <cell r="K100" t="str">
            <v>Bildirimsiz</v>
          </cell>
          <cell r="O100">
            <v>0</v>
          </cell>
          <cell r="P100">
            <v>351</v>
          </cell>
          <cell r="Q100">
            <v>0</v>
          </cell>
          <cell r="R100">
            <v>2</v>
          </cell>
          <cell r="S100">
            <v>0</v>
          </cell>
          <cell r="T100">
            <v>0</v>
          </cell>
          <cell r="U100">
            <v>0</v>
          </cell>
          <cell r="V100">
            <v>105358.50000019069</v>
          </cell>
          <cell r="W100">
            <v>0</v>
          </cell>
          <cell r="X100">
            <v>600.33333333441988</v>
          </cell>
          <cell r="Y100">
            <v>0</v>
          </cell>
          <cell r="Z100">
            <v>0</v>
          </cell>
        </row>
        <row r="101">
          <cell r="C101" t="str">
            <v>TEKİRDAĞ</v>
          </cell>
          <cell r="D101" t="str">
            <v>ERGENE</v>
          </cell>
          <cell r="H101" t="str">
            <v>Dağıtım-OG</v>
          </cell>
          <cell r="I101" t="str">
            <v>Uzun</v>
          </cell>
          <cell r="J101" t="str">
            <v>Şebeke işletmecisi</v>
          </cell>
          <cell r="K101" t="str">
            <v>Bildirimli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3</v>
          </cell>
          <cell r="T101">
            <v>0</v>
          </cell>
          <cell r="U101">
            <v>299.91666667163372</v>
          </cell>
          <cell r="V101">
            <v>0</v>
          </cell>
          <cell r="W101">
            <v>0</v>
          </cell>
          <cell r="X101">
            <v>0</v>
          </cell>
          <cell r="Y101">
            <v>899.75000001490116</v>
          </cell>
          <cell r="Z101">
            <v>0</v>
          </cell>
        </row>
        <row r="102">
          <cell r="C102" t="str">
            <v>TEKİRDAĞ</v>
          </cell>
          <cell r="D102" t="str">
            <v>SÜLEYMANPAŞA</v>
          </cell>
          <cell r="H102" t="str">
            <v>Dağıtım-AG</v>
          </cell>
          <cell r="I102" t="str">
            <v>Uzun</v>
          </cell>
          <cell r="J102" t="str">
            <v>Şebeke işletmecisi</v>
          </cell>
          <cell r="K102" t="str">
            <v>Bildirimli</v>
          </cell>
          <cell r="O102">
            <v>0</v>
          </cell>
          <cell r="P102">
            <v>100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29988.33333409857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C103" t="str">
            <v>TEKİRDAĞ</v>
          </cell>
          <cell r="D103" t="str">
            <v>MURATLI</v>
          </cell>
          <cell r="H103" t="str">
            <v>Dağıtım-OG</v>
          </cell>
          <cell r="I103" t="str">
            <v>Uzun</v>
          </cell>
          <cell r="J103" t="str">
            <v>Şebeke işletmecisi</v>
          </cell>
          <cell r="K103" t="str">
            <v>Bildirimli</v>
          </cell>
          <cell r="O103">
            <v>2</v>
          </cell>
          <cell r="P103">
            <v>606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599.733333340846</v>
          </cell>
          <cell r="V103">
            <v>181719.20000227634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>EDİRNE</v>
          </cell>
          <cell r="D104" t="str">
            <v>KEŞAN</v>
          </cell>
          <cell r="H104" t="str">
            <v>Dağıtım-OG</v>
          </cell>
          <cell r="I104" t="str">
            <v>Uzun</v>
          </cell>
          <cell r="J104" t="str">
            <v>Şebeke işletmecisi</v>
          </cell>
          <cell r="K104" t="str">
            <v>Bildirimli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10</v>
          </cell>
          <cell r="T104">
            <v>855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2996.6666666558012</v>
          </cell>
          <cell r="Z104">
            <v>256214.99999907101</v>
          </cell>
        </row>
        <row r="105">
          <cell r="C105" t="str">
            <v>KIRKLARELİ</v>
          </cell>
          <cell r="D105" t="str">
            <v>DEMİRKÖY</v>
          </cell>
          <cell r="H105" t="str">
            <v>Dağıtım-OG</v>
          </cell>
          <cell r="I105" t="str">
            <v>Uzun</v>
          </cell>
          <cell r="J105" t="str">
            <v>Şebeke işletmecisi</v>
          </cell>
          <cell r="K105" t="str">
            <v>Bildirimsiz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299.46666667121463</v>
          </cell>
          <cell r="Z105">
            <v>0</v>
          </cell>
        </row>
        <row r="106">
          <cell r="C106" t="str">
            <v>TEKİRDAĞ</v>
          </cell>
          <cell r="D106" t="str">
            <v>HAYRABOLU</v>
          </cell>
          <cell r="H106" t="str">
            <v>Dağıtım-OG</v>
          </cell>
          <cell r="I106" t="str">
            <v>Uzun</v>
          </cell>
          <cell r="J106" t="str">
            <v>Şebeke işletmecisi</v>
          </cell>
          <cell r="K106" t="str">
            <v>Bildirimli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6</v>
          </cell>
          <cell r="T106">
            <v>374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1795.4999999748543</v>
          </cell>
          <cell r="Z106">
            <v>111919.49999843258</v>
          </cell>
        </row>
        <row r="107">
          <cell r="C107" t="str">
            <v>EDİRNE</v>
          </cell>
          <cell r="D107" t="str">
            <v>KEŞAN</v>
          </cell>
          <cell r="H107" t="str">
            <v>Dağıtım-AG</v>
          </cell>
          <cell r="I107" t="str">
            <v>Uzun</v>
          </cell>
          <cell r="J107" t="str">
            <v>Şebeke işletmecisi</v>
          </cell>
          <cell r="K107" t="str">
            <v>Bildirimli</v>
          </cell>
          <cell r="O107">
            <v>0</v>
          </cell>
          <cell r="P107">
            <v>2</v>
          </cell>
          <cell r="Q107">
            <v>0</v>
          </cell>
          <cell r="R107">
            <v>0</v>
          </cell>
          <cell r="S107">
            <v>0</v>
          </cell>
          <cell r="T107">
            <v>247</v>
          </cell>
          <cell r="U107">
            <v>0</v>
          </cell>
          <cell r="V107">
            <v>598.43333333032206</v>
          </cell>
          <cell r="W107">
            <v>0</v>
          </cell>
          <cell r="X107">
            <v>0</v>
          </cell>
          <cell r="Y107">
            <v>0</v>
          </cell>
          <cell r="Z107">
            <v>73906.516666294774</v>
          </cell>
        </row>
        <row r="108">
          <cell r="C108" t="str">
            <v>EDİRNE</v>
          </cell>
          <cell r="D108" t="str">
            <v>KEŞAN</v>
          </cell>
          <cell r="H108" t="str">
            <v>Dağıtım-AG</v>
          </cell>
          <cell r="I108" t="str">
            <v>Uzun</v>
          </cell>
          <cell r="J108" t="str">
            <v>Şebeke işletmecisi</v>
          </cell>
          <cell r="K108" t="str">
            <v>Bildirimsiz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13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3880.9333332802635</v>
          </cell>
        </row>
        <row r="109">
          <cell r="C109" t="str">
            <v>TEKİRDAĞ</v>
          </cell>
          <cell r="D109" t="str">
            <v>SÜLEYMANPAŞA</v>
          </cell>
          <cell r="H109" t="str">
            <v>Dağıtım-AG</v>
          </cell>
          <cell r="I109" t="str">
            <v>Uzun</v>
          </cell>
          <cell r="J109" t="str">
            <v>Şebeke işletmecisi</v>
          </cell>
          <cell r="K109" t="str">
            <v>Bildirimsiz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297.00000000419095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C110" t="str">
            <v>TEKİRDAĞ</v>
          </cell>
          <cell r="D110" t="str">
            <v>ŞARKÖY</v>
          </cell>
          <cell r="H110" t="str">
            <v>Dağıtım-AG</v>
          </cell>
          <cell r="I110" t="str">
            <v>Uzun</v>
          </cell>
          <cell r="J110" t="str">
            <v>Şebeke işletmecisi</v>
          </cell>
          <cell r="K110" t="str">
            <v>Bildirimli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125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36952.083334035706</v>
          </cell>
        </row>
        <row r="111">
          <cell r="C111" t="str">
            <v>TEKİRDAĞ</v>
          </cell>
          <cell r="D111" t="str">
            <v>MARMARAEREĞLİSİ</v>
          </cell>
          <cell r="H111" t="str">
            <v>Dağıtım-AG</v>
          </cell>
          <cell r="I111" t="str">
            <v>Uzun</v>
          </cell>
          <cell r="J111" t="str">
            <v>Şebeke işletmecisi</v>
          </cell>
          <cell r="K111" t="str">
            <v>Bildirimsiz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293.48333333269693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C112" t="str">
            <v>TEKİRDAĞ</v>
          </cell>
          <cell r="D112" t="str">
            <v>ÇORLU</v>
          </cell>
          <cell r="H112" t="str">
            <v>Dağıtım-AG</v>
          </cell>
          <cell r="I112" t="str">
            <v>Uzun</v>
          </cell>
          <cell r="J112" t="str">
            <v>Şebeke işletmecisi</v>
          </cell>
          <cell r="K112" t="str">
            <v>Bildirimsiz</v>
          </cell>
          <cell r="O112">
            <v>0</v>
          </cell>
          <cell r="P112">
            <v>33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9656.3499998627231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C113" t="str">
            <v>KIRKLARELİ</v>
          </cell>
          <cell r="D113" t="str">
            <v>VİZE</v>
          </cell>
          <cell r="H113" t="str">
            <v>Dağıtım-AG</v>
          </cell>
          <cell r="I113" t="str">
            <v>Uzun</v>
          </cell>
          <cell r="J113" t="str">
            <v>Şebeke işletmecisi</v>
          </cell>
          <cell r="K113" t="str">
            <v>Bildirimsiz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1461.6666666814126</v>
          </cell>
        </row>
        <row r="114">
          <cell r="C114" t="str">
            <v>KIRKLARELİ</v>
          </cell>
          <cell r="D114" t="str">
            <v>DEMİRKÖY</v>
          </cell>
          <cell r="H114" t="str">
            <v>Dağıtım-AG</v>
          </cell>
          <cell r="I114" t="str">
            <v>Uzun</v>
          </cell>
          <cell r="J114" t="str">
            <v>Şebeke işletmecisi</v>
          </cell>
          <cell r="K114" t="str">
            <v>Bildirimsiz</v>
          </cell>
          <cell r="O114">
            <v>0</v>
          </cell>
          <cell r="P114">
            <v>0</v>
          </cell>
          <cell r="Q114">
            <v>0</v>
          </cell>
          <cell r="R114">
            <v>217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63396.550000434509</v>
          </cell>
          <cell r="Y114">
            <v>0</v>
          </cell>
          <cell r="Z114">
            <v>0</v>
          </cell>
        </row>
        <row r="115">
          <cell r="C115" t="str">
            <v>TEKİRDAĞ</v>
          </cell>
          <cell r="D115" t="str">
            <v>SÜLEYMANPAŞA</v>
          </cell>
          <cell r="H115" t="str">
            <v>Dağıtım-AG</v>
          </cell>
          <cell r="I115" t="str">
            <v>Uzun</v>
          </cell>
          <cell r="J115" t="str">
            <v>Şebeke işletmecisi</v>
          </cell>
          <cell r="K115" t="str">
            <v>Bildirimsiz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291.48333332617767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C116" t="str">
            <v>EDİRNE</v>
          </cell>
          <cell r="D116" t="str">
            <v>ENEZ</v>
          </cell>
          <cell r="H116" t="str">
            <v>Dağıtım-AG</v>
          </cell>
          <cell r="I116" t="str">
            <v>Uzun</v>
          </cell>
          <cell r="J116" t="str">
            <v>Şebeke işletmecisi</v>
          </cell>
          <cell r="K116" t="str">
            <v>Bildirimli</v>
          </cell>
          <cell r="O116">
            <v>0</v>
          </cell>
          <cell r="P116">
            <v>0</v>
          </cell>
          <cell r="Q116">
            <v>0</v>
          </cell>
          <cell r="R116">
            <v>382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110971.000001512</v>
          </cell>
          <cell r="Y116">
            <v>0</v>
          </cell>
          <cell r="Z116">
            <v>0</v>
          </cell>
        </row>
        <row r="117">
          <cell r="C117" t="str">
            <v>TEKİRDAĞ</v>
          </cell>
          <cell r="D117" t="str">
            <v>SÜLEYMANPAŞA</v>
          </cell>
          <cell r="H117" t="str">
            <v>Dağıtım-OG</v>
          </cell>
          <cell r="I117" t="str">
            <v>Uzun</v>
          </cell>
          <cell r="J117" t="str">
            <v>Şebeke işletmecisi</v>
          </cell>
          <cell r="K117" t="str">
            <v>Bildirimsiz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</v>
          </cell>
          <cell r="T117">
            <v>178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288.64999999059364</v>
          </cell>
          <cell r="Z117">
            <v>51379.699998325668</v>
          </cell>
        </row>
        <row r="118">
          <cell r="C118" t="str">
            <v>TEKİRDAĞ</v>
          </cell>
          <cell r="D118" t="str">
            <v>ÇORLU</v>
          </cell>
          <cell r="H118" t="str">
            <v>Dağıtım-AG</v>
          </cell>
          <cell r="I118" t="str">
            <v>Uzun</v>
          </cell>
          <cell r="J118" t="str">
            <v>Şebeke işletmecisi</v>
          </cell>
          <cell r="K118" t="str">
            <v>Bildirimsiz</v>
          </cell>
          <cell r="O118">
            <v>0</v>
          </cell>
          <cell r="P118">
            <v>2</v>
          </cell>
          <cell r="Q118">
            <v>0</v>
          </cell>
          <cell r="R118">
            <v>0</v>
          </cell>
          <cell r="S118">
            <v>0</v>
          </cell>
          <cell r="T118">
            <v>28</v>
          </cell>
          <cell r="U118">
            <v>0</v>
          </cell>
          <cell r="V118">
            <v>574.73333334317431</v>
          </cell>
          <cell r="W118">
            <v>0</v>
          </cell>
          <cell r="X118">
            <v>0</v>
          </cell>
          <cell r="Y118">
            <v>0</v>
          </cell>
          <cell r="Z118">
            <v>8046.2666668044403</v>
          </cell>
        </row>
        <row r="119">
          <cell r="C119" t="str">
            <v>EDİRNE</v>
          </cell>
          <cell r="D119" t="str">
            <v>KEŞAN</v>
          </cell>
          <cell r="H119" t="str">
            <v>Dağıtım-OG</v>
          </cell>
          <cell r="I119" t="str">
            <v>Uzun</v>
          </cell>
          <cell r="J119" t="str">
            <v>Şebeke işletmecisi</v>
          </cell>
          <cell r="K119" t="str">
            <v>Bildirimli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157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44823.500001352513</v>
          </cell>
        </row>
        <row r="120">
          <cell r="C120" t="str">
            <v>EDİRNE</v>
          </cell>
          <cell r="D120" t="str">
            <v>ENEZ</v>
          </cell>
          <cell r="H120" t="str">
            <v>Dağıtım-OG</v>
          </cell>
          <cell r="I120" t="str">
            <v>Uzun</v>
          </cell>
          <cell r="J120" t="str">
            <v>Şebeke işletmecisi</v>
          </cell>
          <cell r="K120" t="str">
            <v>Bildirimsiz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126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35880.599999288097</v>
          </cell>
        </row>
        <row r="121">
          <cell r="C121" t="str">
            <v>TEKİRDAĞ</v>
          </cell>
          <cell r="D121" t="str">
            <v>ERGENE</v>
          </cell>
          <cell r="H121" t="str">
            <v>Dağıtım-AG</v>
          </cell>
          <cell r="I121" t="str">
            <v>Uzun</v>
          </cell>
          <cell r="J121" t="str">
            <v>Şebeke işletmecisi</v>
          </cell>
          <cell r="K121" t="str">
            <v>Bildirimsiz</v>
          </cell>
          <cell r="O121">
            <v>0</v>
          </cell>
          <cell r="P121">
            <v>275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78164.166668284452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C122" t="str">
            <v>EDİRNE</v>
          </cell>
          <cell r="D122" t="str">
            <v>HAVSA</v>
          </cell>
          <cell r="H122" t="str">
            <v>Dağıtım-OG</v>
          </cell>
          <cell r="I122" t="str">
            <v>Uzun</v>
          </cell>
          <cell r="J122" t="str">
            <v>Şebeke işletmecisi</v>
          </cell>
          <cell r="K122" t="str">
            <v>Bildirimsiz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2</v>
          </cell>
          <cell r="T122">
            <v>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564.73333333153278</v>
          </cell>
          <cell r="Z122">
            <v>282.36666666576639</v>
          </cell>
        </row>
        <row r="123">
          <cell r="C123" t="str">
            <v>KIRKLARELİ</v>
          </cell>
          <cell r="D123" t="str">
            <v>KIRKLARELİMERKEZ</v>
          </cell>
          <cell r="H123" t="str">
            <v>Dağıtım-OG</v>
          </cell>
          <cell r="I123" t="str">
            <v>Uzun</v>
          </cell>
          <cell r="J123" t="str">
            <v>Şebeke işletmecisi</v>
          </cell>
          <cell r="K123" t="str">
            <v>Bildirimli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1108.0666666477919</v>
          </cell>
          <cell r="Z123">
            <v>0</v>
          </cell>
        </row>
        <row r="124">
          <cell r="C124" t="str">
            <v>KIRKLARELİ</v>
          </cell>
          <cell r="D124" t="str">
            <v>DEMİRKÖY</v>
          </cell>
          <cell r="H124" t="str">
            <v>Dağıtım-AG</v>
          </cell>
          <cell r="I124" t="str">
            <v>Uzun</v>
          </cell>
          <cell r="J124" t="str">
            <v>Şebeke işletmecisi</v>
          </cell>
          <cell r="K124" t="str">
            <v>Bildirimsiz</v>
          </cell>
          <cell r="O124">
            <v>0</v>
          </cell>
          <cell r="P124">
            <v>0</v>
          </cell>
          <cell r="Q124">
            <v>0</v>
          </cell>
          <cell r="R124">
            <v>9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2479.9499999836553</v>
          </cell>
          <cell r="Y124">
            <v>0</v>
          </cell>
          <cell r="Z124">
            <v>0</v>
          </cell>
        </row>
        <row r="125">
          <cell r="C125" t="str">
            <v>EDİRNE</v>
          </cell>
          <cell r="D125" t="str">
            <v>KEŞAN</v>
          </cell>
          <cell r="H125" t="str">
            <v>Dağıtım-AG</v>
          </cell>
          <cell r="I125" t="str">
            <v>Uzun</v>
          </cell>
          <cell r="J125" t="str">
            <v>Şebeke işletmecisi</v>
          </cell>
          <cell r="K125" t="str">
            <v>Bildirimli</v>
          </cell>
          <cell r="O125">
            <v>0</v>
          </cell>
          <cell r="P125">
            <v>427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116820.08333310136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C126" t="str">
            <v>KIRKLARELİ</v>
          </cell>
          <cell r="D126" t="str">
            <v>LÜLEBURGAZ</v>
          </cell>
          <cell r="H126" t="str">
            <v>Dağıtım-AG</v>
          </cell>
          <cell r="I126" t="str">
            <v>Uzun</v>
          </cell>
          <cell r="J126" t="str">
            <v>Şebeke işletmecisi</v>
          </cell>
          <cell r="K126" t="str">
            <v>Bildirimsiz</v>
          </cell>
          <cell r="O126">
            <v>0</v>
          </cell>
          <cell r="P126">
            <v>1</v>
          </cell>
          <cell r="Q126">
            <v>0</v>
          </cell>
          <cell r="R126">
            <v>50</v>
          </cell>
          <cell r="S126">
            <v>0</v>
          </cell>
          <cell r="T126">
            <v>0</v>
          </cell>
          <cell r="U126">
            <v>0</v>
          </cell>
          <cell r="V126">
            <v>273.05000000051223</v>
          </cell>
          <cell r="W126">
            <v>0</v>
          </cell>
          <cell r="X126">
            <v>13652.500000025611</v>
          </cell>
          <cell r="Y126">
            <v>0</v>
          </cell>
          <cell r="Z126">
            <v>0</v>
          </cell>
        </row>
        <row r="127">
          <cell r="C127" t="str">
            <v>EDİRNE</v>
          </cell>
          <cell r="D127" t="str">
            <v>HAVSA</v>
          </cell>
          <cell r="H127" t="str">
            <v>Dağıtım-OG</v>
          </cell>
          <cell r="I127" t="str">
            <v>Uzun</v>
          </cell>
          <cell r="J127" t="str">
            <v>Şebeke işletmecisi</v>
          </cell>
          <cell r="K127" t="str">
            <v>Bildirimli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543.93333333078772</v>
          </cell>
          <cell r="Z127">
            <v>0</v>
          </cell>
        </row>
        <row r="128">
          <cell r="C128" t="str">
            <v>KIRKLARELİ</v>
          </cell>
          <cell r="D128" t="str">
            <v>BABAESKİ</v>
          </cell>
          <cell r="H128" t="str">
            <v>Dağıtım-AG</v>
          </cell>
          <cell r="I128" t="str">
            <v>Uzun</v>
          </cell>
          <cell r="J128" t="str">
            <v>Şebeke işletmecisi</v>
          </cell>
          <cell r="K128" t="str">
            <v>Bildirimli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254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69058.36666671792</v>
          </cell>
        </row>
        <row r="129">
          <cell r="C129" t="str">
            <v>TEKİRDAĞ</v>
          </cell>
          <cell r="D129" t="str">
            <v>ÇORLU</v>
          </cell>
          <cell r="H129" t="str">
            <v>Dağıtım-AG</v>
          </cell>
          <cell r="I129" t="str">
            <v>Uzun</v>
          </cell>
          <cell r="J129" t="str">
            <v>Şebeke işletmecisi</v>
          </cell>
          <cell r="K129" t="str">
            <v>Bildirimsiz</v>
          </cell>
          <cell r="O129">
            <v>0</v>
          </cell>
          <cell r="P129">
            <v>65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17629.083332751179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C130" t="str">
            <v>TEKİRDAĞ</v>
          </cell>
          <cell r="D130" t="str">
            <v>ÇORLU</v>
          </cell>
          <cell r="H130" t="str">
            <v>Dağıtım-OG</v>
          </cell>
          <cell r="I130" t="str">
            <v>Uzun</v>
          </cell>
          <cell r="J130" t="str">
            <v>Şebeke işletmecisi</v>
          </cell>
          <cell r="K130" t="str">
            <v>Bildirimli</v>
          </cell>
          <cell r="O130">
            <v>4</v>
          </cell>
          <cell r="P130">
            <v>7</v>
          </cell>
          <cell r="Q130">
            <v>0</v>
          </cell>
          <cell r="R130">
            <v>0</v>
          </cell>
          <cell r="S130">
            <v>32</v>
          </cell>
          <cell r="T130">
            <v>904</v>
          </cell>
          <cell r="U130">
            <v>1079.7333333548158</v>
          </cell>
          <cell r="V130">
            <v>1889.5333333709277</v>
          </cell>
          <cell r="W130">
            <v>0</v>
          </cell>
          <cell r="X130">
            <v>0</v>
          </cell>
          <cell r="Y130">
            <v>8637.8666668385267</v>
          </cell>
          <cell r="Z130">
            <v>244019.73333818838</v>
          </cell>
        </row>
        <row r="131">
          <cell r="C131" t="str">
            <v>TEKİRDAĞ</v>
          </cell>
          <cell r="D131" t="str">
            <v>ÇORLU</v>
          </cell>
          <cell r="H131" t="str">
            <v>Dağıtım-AG</v>
          </cell>
          <cell r="I131" t="str">
            <v>Uzun</v>
          </cell>
          <cell r="J131" t="str">
            <v>Şebeke işletmecisi</v>
          </cell>
          <cell r="K131" t="str">
            <v>Bildirimli</v>
          </cell>
          <cell r="O131">
            <v>0</v>
          </cell>
          <cell r="P131">
            <v>88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23752.666666796431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C132" t="str">
            <v>TEKİRDAĞ</v>
          </cell>
          <cell r="D132" t="str">
            <v>ERGENE</v>
          </cell>
          <cell r="H132" t="str">
            <v>Dağıtım-AG</v>
          </cell>
          <cell r="I132" t="str">
            <v>Uzun</v>
          </cell>
          <cell r="J132" t="str">
            <v>Şebeke işletmecisi</v>
          </cell>
          <cell r="K132" t="str">
            <v>Bildirimli</v>
          </cell>
          <cell r="O132">
            <v>0</v>
          </cell>
          <cell r="P132">
            <v>143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38598.0833335442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C133" t="str">
            <v>TEKİRDAĞ</v>
          </cell>
          <cell r="D133" t="str">
            <v>ERGENE</v>
          </cell>
          <cell r="H133" t="str">
            <v>Dağıtım-AG</v>
          </cell>
          <cell r="I133" t="str">
            <v>Uzun</v>
          </cell>
          <cell r="J133" t="str">
            <v>Şebeke işletmecisi</v>
          </cell>
          <cell r="K133" t="str">
            <v>Bildirimli</v>
          </cell>
          <cell r="O133">
            <v>0</v>
          </cell>
          <cell r="P133">
            <v>10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2698.6666666693054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C134" t="str">
            <v>KIRKLARELİ</v>
          </cell>
          <cell r="D134" t="str">
            <v>VİZE</v>
          </cell>
          <cell r="H134" t="str">
            <v>Dağıtım-OG</v>
          </cell>
          <cell r="I134" t="str">
            <v>Uzun</v>
          </cell>
          <cell r="J134" t="str">
            <v>Şebeke işletmecisi</v>
          </cell>
          <cell r="K134" t="str">
            <v>Bildirimsiz</v>
          </cell>
          <cell r="O134">
            <v>0</v>
          </cell>
          <cell r="P134">
            <v>0</v>
          </cell>
          <cell r="Q134">
            <v>1</v>
          </cell>
          <cell r="R134">
            <v>0</v>
          </cell>
          <cell r="S134">
            <v>2</v>
          </cell>
          <cell r="T134">
            <v>0</v>
          </cell>
          <cell r="U134">
            <v>0</v>
          </cell>
          <cell r="V134">
            <v>0</v>
          </cell>
          <cell r="W134">
            <v>269.19999999110587</v>
          </cell>
          <cell r="X134">
            <v>0</v>
          </cell>
          <cell r="Y134">
            <v>538.39999998221174</v>
          </cell>
          <cell r="Z134">
            <v>0</v>
          </cell>
        </row>
        <row r="135">
          <cell r="C135" t="str">
            <v>TEKİRDAĞ</v>
          </cell>
          <cell r="D135" t="str">
            <v>MARMARAEREĞLİSİ</v>
          </cell>
          <cell r="H135" t="str">
            <v>Dağıtım-AG</v>
          </cell>
          <cell r="I135" t="str">
            <v>Uzun</v>
          </cell>
          <cell r="J135" t="str">
            <v>Şebeke işletmecisi</v>
          </cell>
          <cell r="K135" t="str">
            <v>Bildirimsiz</v>
          </cell>
          <cell r="O135">
            <v>0</v>
          </cell>
          <cell r="P135">
            <v>69</v>
          </cell>
          <cell r="Q135">
            <v>0</v>
          </cell>
          <cell r="R135">
            <v>4</v>
          </cell>
          <cell r="S135">
            <v>0</v>
          </cell>
          <cell r="T135">
            <v>0</v>
          </cell>
          <cell r="U135">
            <v>0</v>
          </cell>
          <cell r="V135">
            <v>18523.050000302028</v>
          </cell>
          <cell r="W135">
            <v>0</v>
          </cell>
          <cell r="X135">
            <v>1073.8000000175089</v>
          </cell>
          <cell r="Y135">
            <v>0</v>
          </cell>
          <cell r="Z135">
            <v>0</v>
          </cell>
        </row>
        <row r="136">
          <cell r="C136" t="str">
            <v>TEKİRDAĞ</v>
          </cell>
          <cell r="D136" t="str">
            <v>ERGENE</v>
          </cell>
          <cell r="H136" t="str">
            <v>Dağıtım-OG</v>
          </cell>
          <cell r="I136" t="str">
            <v>Uzun</v>
          </cell>
          <cell r="J136" t="str">
            <v>Şebeke işletmecisi</v>
          </cell>
          <cell r="K136" t="str">
            <v>Bildirimsiz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</v>
          </cell>
          <cell r="T136">
            <v>1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804.80000001029111</v>
          </cell>
          <cell r="Z136">
            <v>268.26666667009704</v>
          </cell>
        </row>
        <row r="137">
          <cell r="C137" t="str">
            <v>EDİRNE</v>
          </cell>
          <cell r="D137" t="str">
            <v>LALAPAŞA</v>
          </cell>
          <cell r="H137" t="str">
            <v>Dağıtım-OG</v>
          </cell>
          <cell r="I137" t="str">
            <v>Uzun</v>
          </cell>
          <cell r="J137" t="str">
            <v>Şebeke işletmecisi</v>
          </cell>
          <cell r="K137" t="str">
            <v>Bildirimsiz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111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29685.099999691593</v>
          </cell>
        </row>
        <row r="138">
          <cell r="C138" t="str">
            <v>EDİRNE</v>
          </cell>
          <cell r="D138" t="str">
            <v>İPSALA</v>
          </cell>
          <cell r="H138" t="str">
            <v>Dağıtım-AG</v>
          </cell>
          <cell r="I138" t="str">
            <v>Uzun</v>
          </cell>
          <cell r="J138" t="str">
            <v>Şebeke işletmecisi</v>
          </cell>
          <cell r="K138" t="str">
            <v>Bildirimsiz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6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1594.4999999483116</v>
          </cell>
        </row>
        <row r="139">
          <cell r="C139" t="str">
            <v>KIRKLARELİ</v>
          </cell>
          <cell r="D139" t="str">
            <v>KIRKLARELİMERKEZ</v>
          </cell>
          <cell r="H139" t="str">
            <v>Dağıtım-AG</v>
          </cell>
          <cell r="I139" t="str">
            <v>Uzun</v>
          </cell>
          <cell r="J139" t="str">
            <v>Şebeke işletmecisi</v>
          </cell>
          <cell r="K139" t="str">
            <v>Bildirimsiz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139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36797.93333405396</v>
          </cell>
        </row>
        <row r="140">
          <cell r="C140" t="str">
            <v>TEKİRDAĞ</v>
          </cell>
          <cell r="D140" t="str">
            <v>KAPAKLI</v>
          </cell>
          <cell r="H140" t="str">
            <v>Dağıtım-AG</v>
          </cell>
          <cell r="I140" t="str">
            <v>Uzun</v>
          </cell>
          <cell r="J140" t="str">
            <v>Şebeke işletmecisi</v>
          </cell>
          <cell r="K140" t="str">
            <v>Bildirimsiz</v>
          </cell>
          <cell r="O140">
            <v>0</v>
          </cell>
          <cell r="P140">
            <v>20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5294.6666667703539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C141" t="str">
            <v>EDİRNE</v>
          </cell>
          <cell r="D141" t="str">
            <v>HAVSA</v>
          </cell>
          <cell r="H141" t="str">
            <v>Dağıtım-OG</v>
          </cell>
          <cell r="I141" t="str">
            <v>Uzun</v>
          </cell>
          <cell r="J141" t="str">
            <v>Şebeke işletmecisi</v>
          </cell>
          <cell r="K141" t="str">
            <v>Bildirimsiz</v>
          </cell>
          <cell r="O141">
            <v>0</v>
          </cell>
          <cell r="P141">
            <v>0</v>
          </cell>
          <cell r="Q141">
            <v>5</v>
          </cell>
          <cell r="R141">
            <v>0</v>
          </cell>
          <cell r="S141">
            <v>3</v>
          </cell>
          <cell r="T141">
            <v>0</v>
          </cell>
          <cell r="U141">
            <v>0</v>
          </cell>
          <cell r="V141">
            <v>0</v>
          </cell>
          <cell r="W141">
            <v>1323.5833332873881</v>
          </cell>
          <cell r="X141">
            <v>0</v>
          </cell>
          <cell r="Y141">
            <v>794.14999997243285</v>
          </cell>
          <cell r="Z141">
            <v>0</v>
          </cell>
        </row>
        <row r="142">
          <cell r="C142" t="str">
            <v>KIRKLARELİ</v>
          </cell>
          <cell r="D142" t="str">
            <v>KIRKLARELİMERKEZ</v>
          </cell>
          <cell r="H142" t="str">
            <v>Dağıtım-AG</v>
          </cell>
          <cell r="I142" t="str">
            <v>Uzun</v>
          </cell>
          <cell r="J142" t="str">
            <v>Şebeke işletmecisi</v>
          </cell>
          <cell r="K142" t="str">
            <v>Bildirimsiz</v>
          </cell>
          <cell r="O142">
            <v>0</v>
          </cell>
          <cell r="P142">
            <v>42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11092.899999883957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C143" t="str">
            <v>EDİRNE</v>
          </cell>
          <cell r="D143" t="str">
            <v>KEŞAN</v>
          </cell>
          <cell r="H143" t="str">
            <v>Dağıtım-AG</v>
          </cell>
          <cell r="I143" t="str">
            <v>Uzun</v>
          </cell>
          <cell r="J143" t="str">
            <v>Şebeke işletmecisi</v>
          </cell>
          <cell r="K143" t="str">
            <v>Bildirimsiz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7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1847.88333331584</v>
          </cell>
        </row>
        <row r="144">
          <cell r="C144" t="str">
            <v>TEKİRDAĞ</v>
          </cell>
          <cell r="D144" t="str">
            <v>SÜLEYMANPAŞA</v>
          </cell>
          <cell r="H144" t="str">
            <v>Dağıtım-AG</v>
          </cell>
          <cell r="I144" t="str">
            <v>Uzun</v>
          </cell>
          <cell r="J144" t="str">
            <v>Şebeke işletmecisi</v>
          </cell>
          <cell r="K144" t="str">
            <v>Bildirimsiz</v>
          </cell>
          <cell r="O144">
            <v>0</v>
          </cell>
          <cell r="P144">
            <v>47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12404.866666984744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C145" t="str">
            <v>TEKİRDAĞ</v>
          </cell>
          <cell r="D145" t="str">
            <v>MARMARAEREĞLİSİ</v>
          </cell>
          <cell r="H145" t="str">
            <v>Dağıtım-AG</v>
          </cell>
          <cell r="I145" t="str">
            <v>Uzun</v>
          </cell>
          <cell r="J145" t="str">
            <v>Şebeke işletmecisi</v>
          </cell>
          <cell r="K145" t="str">
            <v>Bildirimsiz</v>
          </cell>
          <cell r="O145">
            <v>0</v>
          </cell>
          <cell r="P145">
            <v>0</v>
          </cell>
          <cell r="Q145">
            <v>0</v>
          </cell>
          <cell r="R145">
            <v>26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6845.3666667058133</v>
          </cell>
          <cell r="Y145">
            <v>0</v>
          </cell>
          <cell r="Z145">
            <v>0</v>
          </cell>
        </row>
        <row r="146">
          <cell r="C146" t="str">
            <v>KIRKLARELİ</v>
          </cell>
          <cell r="D146" t="str">
            <v>VİZE</v>
          </cell>
          <cell r="H146" t="str">
            <v>Dağıtım-AG</v>
          </cell>
          <cell r="I146" t="str">
            <v>Uzun</v>
          </cell>
          <cell r="J146" t="str">
            <v>Şebeke işletmecisi</v>
          </cell>
          <cell r="K146" t="str">
            <v>Bildirimsiz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13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3393.2166667445563</v>
          </cell>
        </row>
        <row r="147">
          <cell r="C147" t="str">
            <v>EDİRNE</v>
          </cell>
          <cell r="D147" t="str">
            <v>UZUNKÖPRÜ</v>
          </cell>
          <cell r="H147" t="str">
            <v>Dağıtım-OG</v>
          </cell>
          <cell r="I147" t="str">
            <v>Uzun</v>
          </cell>
          <cell r="J147" t="str">
            <v>Şebeke işletmecisi</v>
          </cell>
          <cell r="K147" t="str">
            <v>Bildirimsiz</v>
          </cell>
          <cell r="O147">
            <v>4</v>
          </cell>
          <cell r="P147">
            <v>1</v>
          </cell>
          <cell r="Q147">
            <v>1</v>
          </cell>
          <cell r="R147">
            <v>0</v>
          </cell>
          <cell r="S147">
            <v>0</v>
          </cell>
          <cell r="T147">
            <v>0</v>
          </cell>
          <cell r="U147">
            <v>1042.4000000115484</v>
          </cell>
          <cell r="V147">
            <v>260.6000000028871</v>
          </cell>
          <cell r="W147">
            <v>260.6000000028871</v>
          </cell>
          <cell r="X147">
            <v>0</v>
          </cell>
          <cell r="Y147">
            <v>0</v>
          </cell>
          <cell r="Z147">
            <v>0</v>
          </cell>
        </row>
        <row r="148">
          <cell r="C148" t="str">
            <v>TEKİRDAĞ</v>
          </cell>
          <cell r="D148" t="str">
            <v>HAYRABOLU</v>
          </cell>
          <cell r="H148" t="str">
            <v>Dağıtım-OG</v>
          </cell>
          <cell r="I148" t="str">
            <v>Uzun</v>
          </cell>
          <cell r="J148" t="str">
            <v>Şebeke işletmecisi</v>
          </cell>
          <cell r="K148" t="str">
            <v>Bildirimsiz</v>
          </cell>
          <cell r="O148">
            <v>0</v>
          </cell>
          <cell r="P148">
            <v>0</v>
          </cell>
          <cell r="Q148">
            <v>2</v>
          </cell>
          <cell r="R148">
            <v>1</v>
          </cell>
          <cell r="S148">
            <v>8</v>
          </cell>
          <cell r="T148">
            <v>559</v>
          </cell>
          <cell r="U148">
            <v>0</v>
          </cell>
          <cell r="V148">
            <v>0</v>
          </cell>
          <cell r="W148">
            <v>517.43333333870396</v>
          </cell>
          <cell r="X148">
            <v>258.71666666935198</v>
          </cell>
          <cell r="Y148">
            <v>2069.7333333548158</v>
          </cell>
          <cell r="Z148">
            <v>144622.61666816776</v>
          </cell>
        </row>
        <row r="149">
          <cell r="C149" t="str">
            <v>EDİRNE</v>
          </cell>
          <cell r="D149" t="str">
            <v>HAVSA</v>
          </cell>
          <cell r="H149" t="str">
            <v>Dağıtım-OG</v>
          </cell>
          <cell r="I149" t="str">
            <v>Uzun</v>
          </cell>
          <cell r="J149" t="str">
            <v>Şebeke işletmecisi</v>
          </cell>
          <cell r="K149" t="str">
            <v>Bildirimli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</v>
          </cell>
          <cell r="T149">
            <v>1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257.96666666166857</v>
          </cell>
          <cell r="Z149">
            <v>257.96666666166857</v>
          </cell>
        </row>
        <row r="150">
          <cell r="C150" t="str">
            <v>KIRKLARELİ</v>
          </cell>
          <cell r="D150" t="str">
            <v>LÜLEBURGAZ</v>
          </cell>
          <cell r="H150" t="str">
            <v>Dağıtım-OG</v>
          </cell>
          <cell r="I150" t="str">
            <v>Uzun</v>
          </cell>
          <cell r="J150" t="str">
            <v>Şebeke İşletmecisi</v>
          </cell>
          <cell r="K150" t="str">
            <v>Bildirimsiz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257.31666666688398</v>
          </cell>
          <cell r="Z150">
            <v>0</v>
          </cell>
        </row>
        <row r="151">
          <cell r="C151" t="str">
            <v>TEKİRDAĞ</v>
          </cell>
          <cell r="D151" t="str">
            <v>MARMARAEREĞLİSİ</v>
          </cell>
          <cell r="H151" t="str">
            <v>Dağıtım-AG</v>
          </cell>
          <cell r="I151" t="str">
            <v>Uzun</v>
          </cell>
          <cell r="J151" t="str">
            <v>Şebeke işletmecisi</v>
          </cell>
          <cell r="K151" t="str">
            <v>Bildirimsiz</v>
          </cell>
          <cell r="O151">
            <v>0</v>
          </cell>
          <cell r="P151">
            <v>0</v>
          </cell>
          <cell r="Q151">
            <v>0</v>
          </cell>
          <cell r="R151">
            <v>3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768.14999999245629</v>
          </cell>
          <cell r="Y151">
            <v>0</v>
          </cell>
          <cell r="Z151">
            <v>0</v>
          </cell>
        </row>
        <row r="152">
          <cell r="C152" t="str">
            <v>KIRKLARELİ</v>
          </cell>
          <cell r="D152" t="str">
            <v>BABAESKİ</v>
          </cell>
          <cell r="H152" t="str">
            <v>Dağıtım-OG</v>
          </cell>
          <cell r="I152" t="str">
            <v>Uzun</v>
          </cell>
          <cell r="J152" t="str">
            <v>Şebeke işletmecisi</v>
          </cell>
          <cell r="K152" t="str">
            <v>Bildirimsiz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6</v>
          </cell>
          <cell r="T152">
            <v>234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1534.500000004191</v>
          </cell>
          <cell r="Z152">
            <v>59845.500000163447</v>
          </cell>
        </row>
        <row r="153">
          <cell r="C153" t="str">
            <v>TEKİRDAĞ</v>
          </cell>
          <cell r="D153" t="str">
            <v>SÜLEYMANPAŞA</v>
          </cell>
          <cell r="H153" t="str">
            <v>Dağıtım-OG</v>
          </cell>
          <cell r="I153" t="str">
            <v>Uzun</v>
          </cell>
          <cell r="J153" t="str">
            <v>Şebeke işletmecisi</v>
          </cell>
          <cell r="K153" t="str">
            <v>Bildirimsiz</v>
          </cell>
          <cell r="O153">
            <v>0</v>
          </cell>
          <cell r="P153">
            <v>81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20648.249999553664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C154" t="str">
            <v>EDİRNE</v>
          </cell>
          <cell r="D154" t="str">
            <v>ENEZ</v>
          </cell>
          <cell r="H154" t="str">
            <v>Dağıtım-OG</v>
          </cell>
          <cell r="I154" t="str">
            <v>Uzun</v>
          </cell>
          <cell r="J154" t="str">
            <v>Şebeke işletmecisi</v>
          </cell>
          <cell r="K154" t="str">
            <v>Bildirimli</v>
          </cell>
          <cell r="O154">
            <v>0</v>
          </cell>
          <cell r="P154">
            <v>1</v>
          </cell>
          <cell r="Q154">
            <v>1</v>
          </cell>
          <cell r="R154">
            <v>3743</v>
          </cell>
          <cell r="S154">
            <v>1</v>
          </cell>
          <cell r="T154">
            <v>18</v>
          </cell>
          <cell r="U154">
            <v>0</v>
          </cell>
          <cell r="V154">
            <v>251.56666666385718</v>
          </cell>
          <cell r="W154">
            <v>251.56666666385718</v>
          </cell>
          <cell r="X154">
            <v>941614.03332281741</v>
          </cell>
          <cell r="Y154">
            <v>251.56666666385718</v>
          </cell>
          <cell r="Z154">
            <v>4528.1999999494292</v>
          </cell>
        </row>
        <row r="155">
          <cell r="C155" t="str">
            <v>KIRKLARELİ</v>
          </cell>
          <cell r="D155" t="str">
            <v>BABAESKİ</v>
          </cell>
          <cell r="H155" t="str">
            <v>Dağıtım-OG</v>
          </cell>
          <cell r="I155" t="str">
            <v>Uzun</v>
          </cell>
          <cell r="J155" t="str">
            <v>Şebeke işletmecisi</v>
          </cell>
          <cell r="K155" t="str">
            <v>Bildirimsiz</v>
          </cell>
          <cell r="O155">
            <v>3</v>
          </cell>
          <cell r="P155">
            <v>2</v>
          </cell>
          <cell r="Q155">
            <v>3</v>
          </cell>
          <cell r="R155">
            <v>480</v>
          </cell>
          <cell r="S155">
            <v>0</v>
          </cell>
          <cell r="T155">
            <v>1</v>
          </cell>
          <cell r="U155">
            <v>752.65000001527369</v>
          </cell>
          <cell r="V155">
            <v>501.76666667684913</v>
          </cell>
          <cell r="W155">
            <v>752.65000001527369</v>
          </cell>
          <cell r="X155">
            <v>120424.00000244379</v>
          </cell>
          <cell r="Y155">
            <v>0</v>
          </cell>
          <cell r="Z155">
            <v>250.88333333842456</v>
          </cell>
        </row>
        <row r="156">
          <cell r="C156" t="str">
            <v>EDİRNE</v>
          </cell>
          <cell r="D156" t="str">
            <v>ENEZ</v>
          </cell>
          <cell r="H156" t="str">
            <v>Dağıtım-OG</v>
          </cell>
          <cell r="I156" t="str">
            <v>Uzun</v>
          </cell>
          <cell r="J156" t="str">
            <v>Şebeke işletmecisi</v>
          </cell>
          <cell r="K156" t="str">
            <v>Bildirimsiz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250.43333333800547</v>
          </cell>
          <cell r="Z156">
            <v>0</v>
          </cell>
        </row>
        <row r="157">
          <cell r="C157" t="str">
            <v>TEKİRDAĞ</v>
          </cell>
          <cell r="D157" t="str">
            <v>SÜLEYMANPAŞA</v>
          </cell>
          <cell r="H157" t="str">
            <v>Dağıtım-AG</v>
          </cell>
          <cell r="I157" t="str">
            <v>Uzun</v>
          </cell>
          <cell r="J157" t="str">
            <v>Şebeke işletmecisi</v>
          </cell>
          <cell r="K157" t="str">
            <v>Bildirimsiz</v>
          </cell>
          <cell r="O157">
            <v>0</v>
          </cell>
          <cell r="P157">
            <v>15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3742.9999999003485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C158" t="str">
            <v>TEKİRDAĞ</v>
          </cell>
          <cell r="D158" t="str">
            <v>SÜLEYMANPAŞA</v>
          </cell>
          <cell r="H158" t="str">
            <v>Dağıtım-AG</v>
          </cell>
          <cell r="I158" t="str">
            <v>Uzun</v>
          </cell>
          <cell r="J158" t="str">
            <v>Şebeke işletmecisi</v>
          </cell>
          <cell r="K158" t="str">
            <v>Bildirimsiz</v>
          </cell>
          <cell r="O158">
            <v>0</v>
          </cell>
          <cell r="P158">
            <v>0</v>
          </cell>
          <cell r="Q158">
            <v>0</v>
          </cell>
          <cell r="R158">
            <v>49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12206.716666702414</v>
          </cell>
          <cell r="Y158">
            <v>0</v>
          </cell>
          <cell r="Z158">
            <v>0</v>
          </cell>
        </row>
        <row r="159">
          <cell r="C159" t="str">
            <v>TEKİRDAĞ</v>
          </cell>
          <cell r="D159" t="str">
            <v>MARMARAEREĞLİSİ</v>
          </cell>
          <cell r="H159" t="str">
            <v>Dağıtım-AG</v>
          </cell>
          <cell r="I159" t="str">
            <v>Uzun</v>
          </cell>
          <cell r="J159" t="str">
            <v>Şebeke işletmecisi</v>
          </cell>
          <cell r="K159" t="str">
            <v>Bildirimsiz</v>
          </cell>
          <cell r="O159">
            <v>0</v>
          </cell>
          <cell r="P159">
            <v>0</v>
          </cell>
          <cell r="Q159">
            <v>0</v>
          </cell>
          <cell r="R159">
            <v>5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1245.2499999781139</v>
          </cell>
          <cell r="Y159">
            <v>0</v>
          </cell>
          <cell r="Z159">
            <v>0</v>
          </cell>
        </row>
        <row r="160">
          <cell r="C160" t="str">
            <v>KIRKLARELİ</v>
          </cell>
          <cell r="D160" t="str">
            <v>PINARHİSAR</v>
          </cell>
          <cell r="H160" t="str">
            <v>Dağıtım-OG</v>
          </cell>
          <cell r="I160" t="str">
            <v>Uzun</v>
          </cell>
          <cell r="J160" t="str">
            <v>Şebeke işletmecisi</v>
          </cell>
          <cell r="K160" t="str">
            <v>Bildirimli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392</v>
          </cell>
          <cell r="U160">
            <v>0</v>
          </cell>
          <cell r="V160">
            <v>0</v>
          </cell>
          <cell r="W160">
            <v>0</v>
          </cell>
          <cell r="X160">
            <v>249.00000000488944</v>
          </cell>
          <cell r="Y160">
            <v>0</v>
          </cell>
          <cell r="Z160">
            <v>97608.000001916662</v>
          </cell>
        </row>
        <row r="161">
          <cell r="C161" t="str">
            <v>EDİRNE</v>
          </cell>
          <cell r="D161" t="str">
            <v>EDİRNEMERKEZ</v>
          </cell>
          <cell r="H161" t="str">
            <v>Dağıtım-OG</v>
          </cell>
          <cell r="I161" t="str">
            <v>Uzun</v>
          </cell>
          <cell r="J161" t="str">
            <v>Şebeke İşletmecisi</v>
          </cell>
          <cell r="K161" t="str">
            <v>Bildirimsiz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216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53690.399999544024</v>
          </cell>
        </row>
        <row r="162">
          <cell r="C162" t="str">
            <v>EDİRNE</v>
          </cell>
          <cell r="D162" t="str">
            <v>KEŞAN</v>
          </cell>
          <cell r="H162" t="str">
            <v>Dağıtım-AG</v>
          </cell>
          <cell r="I162" t="str">
            <v>Uzun</v>
          </cell>
          <cell r="J162" t="str">
            <v>Şebeke işletmecisi</v>
          </cell>
          <cell r="K162" t="str">
            <v>Bildirimsiz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14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3469.9000001186505</v>
          </cell>
        </row>
        <row r="163">
          <cell r="C163" t="str">
            <v>KIRKLARELİ</v>
          </cell>
          <cell r="D163" t="str">
            <v>DEMİRKÖY</v>
          </cell>
          <cell r="H163" t="str">
            <v>Dağıtım-AG</v>
          </cell>
          <cell r="I163" t="str">
            <v>Uzun</v>
          </cell>
          <cell r="J163" t="str">
            <v>Şebeke işletmecisi</v>
          </cell>
          <cell r="K163" t="str">
            <v>Bildirimsiz</v>
          </cell>
          <cell r="O163">
            <v>0</v>
          </cell>
          <cell r="P163">
            <v>0</v>
          </cell>
          <cell r="Q163">
            <v>0</v>
          </cell>
          <cell r="R163">
            <v>51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12629.299999986542</v>
          </cell>
          <cell r="Y163">
            <v>0</v>
          </cell>
          <cell r="Z163">
            <v>0</v>
          </cell>
        </row>
        <row r="164">
          <cell r="C164" t="str">
            <v>TEKİRDAĞ</v>
          </cell>
          <cell r="D164" t="str">
            <v>ÇORLU</v>
          </cell>
          <cell r="H164" t="str">
            <v>Dağıtım-OG</v>
          </cell>
          <cell r="I164" t="str">
            <v>Uzun</v>
          </cell>
          <cell r="J164" t="str">
            <v>Şebeke işletmecisi</v>
          </cell>
          <cell r="K164" t="str">
            <v>Bildirimli</v>
          </cell>
          <cell r="O164">
            <v>0</v>
          </cell>
          <cell r="P164">
            <v>1258</v>
          </cell>
          <cell r="Q164">
            <v>0</v>
          </cell>
          <cell r="R164">
            <v>0</v>
          </cell>
          <cell r="S164">
            <v>0</v>
          </cell>
          <cell r="T164">
            <v>1</v>
          </cell>
          <cell r="U164">
            <v>0</v>
          </cell>
          <cell r="V164">
            <v>311040.49999238458</v>
          </cell>
          <cell r="W164">
            <v>0</v>
          </cell>
          <cell r="X164">
            <v>0</v>
          </cell>
          <cell r="Y164">
            <v>0</v>
          </cell>
          <cell r="Z164">
            <v>247.2499999939464</v>
          </cell>
        </row>
        <row r="165">
          <cell r="C165" t="str">
            <v>TEKİRDAĞ</v>
          </cell>
          <cell r="D165" t="str">
            <v>ÇORLU</v>
          </cell>
          <cell r="H165" t="str">
            <v>Dağıtım-OG</v>
          </cell>
          <cell r="I165" t="str">
            <v>Uzun</v>
          </cell>
          <cell r="J165" t="str">
            <v>Şebeke işletmecisi</v>
          </cell>
          <cell r="K165" t="str">
            <v>Bildirimli</v>
          </cell>
          <cell r="O165">
            <v>33</v>
          </cell>
          <cell r="P165">
            <v>126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8138.9000002294779</v>
          </cell>
          <cell r="V165">
            <v>31075.800000876188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C166" t="str">
            <v>EDİRNE</v>
          </cell>
          <cell r="D166" t="str">
            <v>LALAPAŞA</v>
          </cell>
          <cell r="H166" t="str">
            <v>Dağıtım-OG</v>
          </cell>
          <cell r="I166" t="str">
            <v>Uzun</v>
          </cell>
          <cell r="J166" t="str">
            <v>Şebeke işletmecisi</v>
          </cell>
          <cell r="K166" t="str">
            <v>Bildirimsiz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2</v>
          </cell>
          <cell r="T166">
            <v>37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493.13333333702758</v>
          </cell>
          <cell r="Z166">
            <v>9122.9666667350102</v>
          </cell>
        </row>
        <row r="167">
          <cell r="C167" t="str">
            <v>TEKİRDAĞ</v>
          </cell>
          <cell r="D167" t="str">
            <v>SÜLEYMANPAŞA</v>
          </cell>
          <cell r="H167" t="str">
            <v>Dağıtım-AG</v>
          </cell>
          <cell r="I167" t="str">
            <v>Uzun</v>
          </cell>
          <cell r="J167" t="str">
            <v>Şebeke işletmecisi</v>
          </cell>
          <cell r="K167" t="str">
            <v>Bildirimsiz</v>
          </cell>
          <cell r="O167">
            <v>0</v>
          </cell>
          <cell r="P167">
            <v>2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491.13333333050832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C168" t="str">
            <v>EDİRNE</v>
          </cell>
          <cell r="D168" t="str">
            <v>HAVSA</v>
          </cell>
          <cell r="H168" t="str">
            <v>Dağıtım-OG</v>
          </cell>
          <cell r="I168" t="str">
            <v>Uzun</v>
          </cell>
          <cell r="J168" t="str">
            <v>Şebeke işletmecisi</v>
          </cell>
          <cell r="K168" t="str">
            <v>Bildirimsiz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5</v>
          </cell>
          <cell r="T168">
            <v>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1225.1666666648816</v>
          </cell>
          <cell r="Z168">
            <v>245.03333333297633</v>
          </cell>
        </row>
        <row r="169">
          <cell r="C169" t="str">
            <v>TEKİRDAĞ</v>
          </cell>
          <cell r="D169" t="str">
            <v>SÜLEYMANPAŞA</v>
          </cell>
          <cell r="H169" t="str">
            <v>Dağıtım-OG</v>
          </cell>
          <cell r="I169" t="str">
            <v>Uzun</v>
          </cell>
          <cell r="J169" t="str">
            <v>Şebeke işletmecisi</v>
          </cell>
          <cell r="K169" t="str">
            <v>Bildirimli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244.25000000512227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C170" t="str">
            <v>KIRKLARELİ</v>
          </cell>
          <cell r="D170" t="str">
            <v>LÜLEBURGAZ</v>
          </cell>
          <cell r="H170" t="str">
            <v>Dağıtım-OG</v>
          </cell>
          <cell r="I170" t="str">
            <v>Uzun</v>
          </cell>
          <cell r="J170" t="str">
            <v>Şebeke işletmecisi</v>
          </cell>
          <cell r="K170" t="str">
            <v>Bildirimsiz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732.55000000004657</v>
          </cell>
          <cell r="Z170">
            <v>0</v>
          </cell>
        </row>
        <row r="171">
          <cell r="C171" t="str">
            <v>TEKİRDAĞ</v>
          </cell>
          <cell r="D171" t="str">
            <v>ÇORLU</v>
          </cell>
          <cell r="H171" t="str">
            <v>Dağıtım-OG</v>
          </cell>
          <cell r="I171" t="str">
            <v>Uzun</v>
          </cell>
          <cell r="J171" t="str">
            <v>Şebeke işletmecisi</v>
          </cell>
          <cell r="K171" t="str">
            <v>Bildirimsiz</v>
          </cell>
          <cell r="O171">
            <v>0</v>
          </cell>
          <cell r="P171">
            <v>1370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334439.83332635835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C172" t="str">
            <v>EDİRNE</v>
          </cell>
          <cell r="D172" t="str">
            <v>EDİRNEMERKEZ</v>
          </cell>
          <cell r="H172" t="str">
            <v>Dağıtım-OG</v>
          </cell>
          <cell r="I172" t="str">
            <v>Uzun</v>
          </cell>
          <cell r="J172" t="str">
            <v>Şebeke işletmecisi</v>
          </cell>
          <cell r="K172" t="str">
            <v>Bildirimli</v>
          </cell>
          <cell r="O172">
            <v>3</v>
          </cell>
          <cell r="P172">
            <v>47</v>
          </cell>
          <cell r="Q172">
            <v>0</v>
          </cell>
          <cell r="R172">
            <v>0</v>
          </cell>
          <cell r="S172">
            <v>2</v>
          </cell>
          <cell r="T172">
            <v>0</v>
          </cell>
          <cell r="U172">
            <v>728.45000001601875</v>
          </cell>
          <cell r="V172">
            <v>11412.383333584294</v>
          </cell>
          <cell r="W172">
            <v>0</v>
          </cell>
          <cell r="X172">
            <v>0</v>
          </cell>
          <cell r="Y172">
            <v>485.6333333440125</v>
          </cell>
          <cell r="Z172">
            <v>0</v>
          </cell>
        </row>
        <row r="173">
          <cell r="C173" t="str">
            <v>TEKİRDAĞ</v>
          </cell>
          <cell r="D173" t="str">
            <v>ERGENE</v>
          </cell>
          <cell r="H173" t="str">
            <v>Dağıtım-OG</v>
          </cell>
          <cell r="I173" t="str">
            <v>Uzun</v>
          </cell>
          <cell r="J173" t="str">
            <v>Şebeke işletmecisi</v>
          </cell>
          <cell r="K173" t="str">
            <v>Bildirimsiz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5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1211.9166666583624</v>
          </cell>
          <cell r="Z173">
            <v>0</v>
          </cell>
        </row>
        <row r="174">
          <cell r="C174" t="str">
            <v>EDİRNE</v>
          </cell>
          <cell r="D174" t="str">
            <v>İPSALA</v>
          </cell>
          <cell r="H174" t="str">
            <v>Dağıtım-AG</v>
          </cell>
          <cell r="I174" t="str">
            <v>Uzun</v>
          </cell>
          <cell r="J174" t="str">
            <v>Şebeke işletmecisi</v>
          </cell>
          <cell r="K174" t="str">
            <v>Bildirimsiz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241.61666666390374</v>
          </cell>
        </row>
        <row r="175">
          <cell r="C175" t="str">
            <v>TEKİRDAĞ</v>
          </cell>
          <cell r="D175" t="str">
            <v>ÇERKEZKÖY</v>
          </cell>
          <cell r="H175" t="str">
            <v>Dağıtım-AG</v>
          </cell>
          <cell r="I175" t="str">
            <v>Uzun</v>
          </cell>
          <cell r="J175" t="str">
            <v>Dışsal</v>
          </cell>
          <cell r="K175" t="str">
            <v>Bildirimsiz</v>
          </cell>
          <cell r="O175">
            <v>0</v>
          </cell>
          <cell r="P175">
            <v>8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1932.5333333015442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C176" t="str">
            <v>TEKİRDAĞ</v>
          </cell>
          <cell r="D176" t="str">
            <v>ÇORLU</v>
          </cell>
          <cell r="H176" t="str">
            <v>Dağıtım-OG</v>
          </cell>
          <cell r="I176" t="str">
            <v>Uzun</v>
          </cell>
          <cell r="J176" t="str">
            <v>Şebeke işletmecisi</v>
          </cell>
          <cell r="K176" t="str">
            <v>Bildirimsiz</v>
          </cell>
          <cell r="O176">
            <v>29</v>
          </cell>
          <cell r="P176">
            <v>15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6975.4666668386199</v>
          </cell>
          <cell r="V176">
            <v>3608.0000000889413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C177" t="str">
            <v>TEKİRDAĞ</v>
          </cell>
          <cell r="D177" t="str">
            <v>ÇORLU</v>
          </cell>
          <cell r="H177" t="str">
            <v>Dağıtım-AG</v>
          </cell>
          <cell r="I177" t="str">
            <v>Uzun</v>
          </cell>
          <cell r="J177" t="str">
            <v>Dışsal</v>
          </cell>
          <cell r="K177" t="str">
            <v>Bildirimsiz</v>
          </cell>
          <cell r="O177">
            <v>0</v>
          </cell>
          <cell r="P177">
            <v>57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13705.649999824818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C178" t="str">
            <v>TEKİRDAĞ</v>
          </cell>
          <cell r="D178" t="str">
            <v>ÇERKEZKÖY</v>
          </cell>
          <cell r="H178" t="str">
            <v>Dağıtım-OG</v>
          </cell>
          <cell r="I178" t="str">
            <v>Uzun</v>
          </cell>
          <cell r="J178" t="str">
            <v>Şebeke işletmecisi</v>
          </cell>
          <cell r="K178" t="str">
            <v>Bildirimli</v>
          </cell>
          <cell r="O178">
            <v>25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6000.000000174623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C179" t="str">
            <v>TEKİRDAĞ</v>
          </cell>
          <cell r="D179" t="str">
            <v>KAPAKLI</v>
          </cell>
          <cell r="H179" t="str">
            <v>Dağıtım-AG</v>
          </cell>
          <cell r="I179" t="str">
            <v>Uzun</v>
          </cell>
          <cell r="J179" t="str">
            <v>Şebeke işletmecisi</v>
          </cell>
          <cell r="K179" t="str">
            <v>Bildirimli</v>
          </cell>
          <cell r="O179">
            <v>0</v>
          </cell>
          <cell r="P179">
            <v>35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8398.8333333050832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C180" t="str">
            <v>EDİRNE</v>
          </cell>
          <cell r="D180" t="str">
            <v>HAVSA</v>
          </cell>
          <cell r="H180" t="str">
            <v>Dağıtım-OG</v>
          </cell>
          <cell r="I180" t="str">
            <v>Uzun</v>
          </cell>
          <cell r="J180" t="str">
            <v>Şebeke işletmecisi</v>
          </cell>
          <cell r="K180" t="str">
            <v>Bildirimli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161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38623.90000073472</v>
          </cell>
        </row>
        <row r="181">
          <cell r="C181" t="str">
            <v>TEKİRDAĞ</v>
          </cell>
          <cell r="D181" t="str">
            <v>SARAY</v>
          </cell>
          <cell r="H181" t="str">
            <v>Dağıtım-OG</v>
          </cell>
          <cell r="I181" t="str">
            <v>Uzun</v>
          </cell>
          <cell r="J181" t="str">
            <v>Şebeke işletmecisi</v>
          </cell>
          <cell r="K181" t="str">
            <v>Bildirimli</v>
          </cell>
          <cell r="O181">
            <v>13</v>
          </cell>
          <cell r="P181">
            <v>25</v>
          </cell>
          <cell r="Q181">
            <v>2</v>
          </cell>
          <cell r="R181">
            <v>824</v>
          </cell>
          <cell r="S181">
            <v>0</v>
          </cell>
          <cell r="T181">
            <v>0</v>
          </cell>
          <cell r="U181">
            <v>3118.6999999231193</v>
          </cell>
          <cell r="V181">
            <v>5997.4999998521525</v>
          </cell>
          <cell r="W181">
            <v>479.7999999881722</v>
          </cell>
          <cell r="X181">
            <v>197677.59999512695</v>
          </cell>
          <cell r="Y181">
            <v>0</v>
          </cell>
          <cell r="Z181">
            <v>0</v>
          </cell>
        </row>
        <row r="182">
          <cell r="C182" t="str">
            <v>TEKİRDAĞ</v>
          </cell>
          <cell r="D182" t="str">
            <v>ÇORLU</v>
          </cell>
          <cell r="H182" t="str">
            <v>Dağıtım-OG</v>
          </cell>
          <cell r="I182" t="str">
            <v>Uzun</v>
          </cell>
          <cell r="J182" t="str">
            <v>Şebeke işletmecisi</v>
          </cell>
          <cell r="K182" t="str">
            <v>Bildirimli</v>
          </cell>
          <cell r="O182">
            <v>3</v>
          </cell>
          <cell r="P182">
            <v>0</v>
          </cell>
          <cell r="Q182">
            <v>0</v>
          </cell>
          <cell r="R182">
            <v>0</v>
          </cell>
          <cell r="S182">
            <v>7</v>
          </cell>
          <cell r="T182">
            <v>0</v>
          </cell>
          <cell r="U182">
            <v>717.84999998984858</v>
          </cell>
          <cell r="V182">
            <v>0</v>
          </cell>
          <cell r="W182">
            <v>0</v>
          </cell>
          <cell r="X182">
            <v>0</v>
          </cell>
          <cell r="Y182">
            <v>1674.9833333096467</v>
          </cell>
          <cell r="Z182">
            <v>0</v>
          </cell>
        </row>
        <row r="183">
          <cell r="C183" t="str">
            <v>EDİRNE</v>
          </cell>
          <cell r="D183" t="str">
            <v>UZUNKÖPRÜ</v>
          </cell>
          <cell r="H183" t="str">
            <v>Dağıtım-OG</v>
          </cell>
          <cell r="I183" t="str">
            <v>Uzun</v>
          </cell>
          <cell r="J183" t="str">
            <v>Şebeke işletmecisi</v>
          </cell>
          <cell r="K183" t="str">
            <v>Bildirimli</v>
          </cell>
          <cell r="O183">
            <v>7</v>
          </cell>
          <cell r="P183">
            <v>151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1674.1666666720994</v>
          </cell>
          <cell r="V183">
            <v>36114.166666783858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C184" t="str">
            <v>EDİRNE</v>
          </cell>
          <cell r="D184" t="str">
            <v>ENEZ</v>
          </cell>
          <cell r="H184" t="str">
            <v>Dağıtım-OG</v>
          </cell>
          <cell r="I184" t="str">
            <v>Uzun</v>
          </cell>
          <cell r="J184" t="str">
            <v>Şebeke işletmecisi</v>
          </cell>
          <cell r="K184" t="str">
            <v>Bildirimsiz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238.5166666621808</v>
          </cell>
          <cell r="Z184">
            <v>0</v>
          </cell>
        </row>
        <row r="185">
          <cell r="C185" t="str">
            <v>EDİRNE</v>
          </cell>
          <cell r="D185" t="str">
            <v>KEŞAN</v>
          </cell>
          <cell r="H185" t="str">
            <v>Dağıtım-AG</v>
          </cell>
          <cell r="I185" t="str">
            <v>Uzun</v>
          </cell>
          <cell r="J185" t="str">
            <v>Şebeke işletmecisi</v>
          </cell>
          <cell r="K185" t="str">
            <v>Bildirimsiz</v>
          </cell>
          <cell r="O185">
            <v>0</v>
          </cell>
          <cell r="P185">
            <v>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1190.9166666737292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C186" t="str">
            <v>TEKİRDAĞ</v>
          </cell>
          <cell r="D186" t="str">
            <v>ÇERKEZKÖY</v>
          </cell>
          <cell r="H186" t="str">
            <v>Dağıtım-OG</v>
          </cell>
          <cell r="I186" t="str">
            <v>Uzun</v>
          </cell>
          <cell r="J186" t="str">
            <v>Şebeke işletmecisi</v>
          </cell>
          <cell r="K186" t="str">
            <v>Bildirimsiz</v>
          </cell>
          <cell r="O186">
            <v>0</v>
          </cell>
          <cell r="P186">
            <v>85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20221.499999833759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C187" t="str">
            <v>TEKİRDAĞ</v>
          </cell>
          <cell r="D187" t="str">
            <v>MARMARAEREĞLİSİ</v>
          </cell>
          <cell r="H187" t="str">
            <v>Dağıtım-AG</v>
          </cell>
          <cell r="I187" t="str">
            <v>Uzun</v>
          </cell>
          <cell r="J187" t="str">
            <v>Şebeke işletmecisi</v>
          </cell>
          <cell r="K187" t="str">
            <v>Bildirimsiz</v>
          </cell>
          <cell r="O187">
            <v>0</v>
          </cell>
          <cell r="P187">
            <v>11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2614.700000040466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C188" t="str">
            <v>TEKİRDAĞ</v>
          </cell>
          <cell r="D188" t="str">
            <v>ÇORLU</v>
          </cell>
          <cell r="H188" t="str">
            <v>Dağıtım-AG</v>
          </cell>
          <cell r="I188" t="str">
            <v>Uzun</v>
          </cell>
          <cell r="J188" t="str">
            <v>Şebeke işletmecisi</v>
          </cell>
          <cell r="K188" t="str">
            <v>Bildirimsiz</v>
          </cell>
          <cell r="O188">
            <v>0</v>
          </cell>
          <cell r="P188">
            <v>15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3560.7500000449363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C189" t="str">
            <v>TEKİRDAĞ</v>
          </cell>
          <cell r="D189" t="str">
            <v>ŞARKÖY</v>
          </cell>
          <cell r="H189" t="str">
            <v>Dağıtım-AG</v>
          </cell>
          <cell r="I189" t="str">
            <v>Uzun</v>
          </cell>
          <cell r="J189" t="str">
            <v>Şebeke işletmecisi</v>
          </cell>
          <cell r="K189" t="str">
            <v>Bildirimli</v>
          </cell>
          <cell r="O189">
            <v>0</v>
          </cell>
          <cell r="P189">
            <v>0</v>
          </cell>
          <cell r="Q189">
            <v>0</v>
          </cell>
          <cell r="R189">
            <v>208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49358.400000929832</v>
          </cell>
          <cell r="Y189">
            <v>0</v>
          </cell>
          <cell r="Z189">
            <v>0</v>
          </cell>
        </row>
        <row r="190">
          <cell r="C190" t="str">
            <v>EDİRNE</v>
          </cell>
          <cell r="D190" t="str">
            <v>KEŞAN</v>
          </cell>
          <cell r="H190" t="str">
            <v>Dağıtım-AG</v>
          </cell>
          <cell r="I190" t="str">
            <v>Uzun</v>
          </cell>
          <cell r="J190" t="str">
            <v>Şebeke işletmecisi</v>
          </cell>
          <cell r="K190" t="str">
            <v>Bildirimli</v>
          </cell>
          <cell r="O190">
            <v>0</v>
          </cell>
          <cell r="P190">
            <v>113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26814.900000505149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C191" t="str">
            <v>EDİRNE</v>
          </cell>
          <cell r="D191" t="str">
            <v>HAVSA</v>
          </cell>
          <cell r="H191" t="str">
            <v>Dağıtım-OG</v>
          </cell>
          <cell r="I191" t="str">
            <v>Uzun</v>
          </cell>
          <cell r="J191" t="str">
            <v>Şebeke işletmecisi</v>
          </cell>
          <cell r="K191" t="str">
            <v>Bildirimsiz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1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236.0333333350718</v>
          </cell>
          <cell r="Z191">
            <v>0</v>
          </cell>
        </row>
        <row r="192">
          <cell r="C192" t="str">
            <v>EDİRNE</v>
          </cell>
          <cell r="D192" t="str">
            <v>KEŞAN</v>
          </cell>
          <cell r="H192" t="str">
            <v>Dağıtım-AG</v>
          </cell>
          <cell r="I192" t="str">
            <v>Uzun</v>
          </cell>
          <cell r="J192" t="str">
            <v>Dışsal</v>
          </cell>
          <cell r="K192" t="str">
            <v>Bildirimsiz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7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1650.1333333679941</v>
          </cell>
        </row>
        <row r="193">
          <cell r="C193" t="str">
            <v>TEKİRDAĞ</v>
          </cell>
          <cell r="D193" t="str">
            <v>ÇORLU</v>
          </cell>
          <cell r="H193" t="str">
            <v>Dağıtım-OG</v>
          </cell>
          <cell r="I193" t="str">
            <v>Uzun</v>
          </cell>
          <cell r="J193" t="str">
            <v>Şebeke işletmecisi</v>
          </cell>
          <cell r="K193" t="str">
            <v>Bildirimli</v>
          </cell>
          <cell r="O193">
            <v>14</v>
          </cell>
          <cell r="P193">
            <v>155</v>
          </cell>
          <cell r="Q193">
            <v>0</v>
          </cell>
          <cell r="R193">
            <v>0</v>
          </cell>
          <cell r="S193">
            <v>2</v>
          </cell>
          <cell r="T193">
            <v>0</v>
          </cell>
          <cell r="U193">
            <v>3287.6666665775701</v>
          </cell>
          <cell r="V193">
            <v>36399.166665680241</v>
          </cell>
          <cell r="W193">
            <v>0</v>
          </cell>
          <cell r="X193">
            <v>0</v>
          </cell>
          <cell r="Y193">
            <v>469.66666665393859</v>
          </cell>
          <cell r="Z193">
            <v>0</v>
          </cell>
        </row>
        <row r="194">
          <cell r="C194" t="str">
            <v>TEKİRDAĞ</v>
          </cell>
          <cell r="D194" t="str">
            <v>MURATLI</v>
          </cell>
          <cell r="H194" t="str">
            <v>Dağıtım-OG</v>
          </cell>
          <cell r="I194" t="str">
            <v>Uzun</v>
          </cell>
          <cell r="J194" t="str">
            <v>Şebeke işletmecisi</v>
          </cell>
          <cell r="K194" t="str">
            <v>Bildirimli</v>
          </cell>
          <cell r="O194">
            <v>7</v>
          </cell>
          <cell r="P194">
            <v>741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1643.7166666681878</v>
          </cell>
          <cell r="V194">
            <v>173999.15000016103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C195" t="str">
            <v>EDİRNE</v>
          </cell>
          <cell r="D195" t="str">
            <v>EDİRNEMERKEZ</v>
          </cell>
          <cell r="H195" t="str">
            <v>Dağıtım-OG</v>
          </cell>
          <cell r="I195" t="str">
            <v>Uzun</v>
          </cell>
          <cell r="J195" t="str">
            <v>Şebeke işletmecisi</v>
          </cell>
          <cell r="K195" t="str">
            <v>Bildirimli</v>
          </cell>
          <cell r="O195">
            <v>0</v>
          </cell>
          <cell r="P195">
            <v>0</v>
          </cell>
          <cell r="Q195">
            <v>0</v>
          </cell>
          <cell r="R195">
            <v>2</v>
          </cell>
          <cell r="S195">
            <v>0</v>
          </cell>
          <cell r="T195">
            <v>106</v>
          </cell>
          <cell r="U195">
            <v>0</v>
          </cell>
          <cell r="V195">
            <v>0</v>
          </cell>
          <cell r="W195">
            <v>0</v>
          </cell>
          <cell r="X195">
            <v>469.36666666762903</v>
          </cell>
          <cell r="Y195">
            <v>0</v>
          </cell>
          <cell r="Z195">
            <v>24876.433333384339</v>
          </cell>
        </row>
        <row r="196">
          <cell r="C196" t="str">
            <v>TEKİRDAĞ</v>
          </cell>
          <cell r="D196" t="str">
            <v>ERGENE</v>
          </cell>
          <cell r="H196" t="str">
            <v>Dağıtım-AG</v>
          </cell>
          <cell r="I196" t="str">
            <v>Uzun</v>
          </cell>
          <cell r="J196" t="str">
            <v>Şebeke işletmecisi</v>
          </cell>
          <cell r="K196" t="str">
            <v>Bildirimsiz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3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700.60000001220033</v>
          </cell>
        </row>
        <row r="197">
          <cell r="C197" t="str">
            <v>TEKİRDAĞ</v>
          </cell>
          <cell r="D197" t="str">
            <v>SÜLEYMANPAŞA</v>
          </cell>
          <cell r="H197" t="str">
            <v>Dağıtım-AG</v>
          </cell>
          <cell r="I197" t="str">
            <v>Uzun</v>
          </cell>
          <cell r="J197" t="str">
            <v>Şebeke işletmecisi</v>
          </cell>
          <cell r="K197" t="str">
            <v>Bildirimsiz</v>
          </cell>
          <cell r="O197">
            <v>0</v>
          </cell>
          <cell r="P197">
            <v>39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9105.1999999594409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C198" t="str">
            <v>TEKİRDAĞ</v>
          </cell>
          <cell r="D198" t="str">
            <v>MARMARAEREĞLİSİ</v>
          </cell>
          <cell r="H198" t="str">
            <v>Dağıtım-AG</v>
          </cell>
          <cell r="I198" t="str">
            <v>Uzun</v>
          </cell>
          <cell r="J198" t="str">
            <v>Şebeke işletmecisi</v>
          </cell>
          <cell r="K198" t="str">
            <v>Bildirimsiz</v>
          </cell>
          <cell r="O198">
            <v>0</v>
          </cell>
          <cell r="P198">
            <v>31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7212.6666666835081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C199" t="str">
            <v>TEKİRDAĞ</v>
          </cell>
          <cell r="D199" t="str">
            <v>SÜLEYMANPAŞA</v>
          </cell>
          <cell r="H199" t="str">
            <v>Dağıtım-AG</v>
          </cell>
          <cell r="I199" t="str">
            <v>Uzun</v>
          </cell>
          <cell r="J199" t="str">
            <v>Şebeke işletmecisi</v>
          </cell>
          <cell r="K199" t="str">
            <v>Bildirimsiz</v>
          </cell>
          <cell r="O199">
            <v>0</v>
          </cell>
          <cell r="P199">
            <v>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232.23333333735354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C200" t="str">
            <v>EDİRNE</v>
          </cell>
          <cell r="D200" t="str">
            <v>EDİRNEMERKEZ</v>
          </cell>
          <cell r="H200" t="str">
            <v>Dağıtım-OG</v>
          </cell>
          <cell r="I200" t="str">
            <v>Uzun</v>
          </cell>
          <cell r="J200" t="str">
            <v>Şebeke işletmecisi</v>
          </cell>
          <cell r="K200" t="str">
            <v>Bildirimsiz</v>
          </cell>
          <cell r="O200">
            <v>4</v>
          </cell>
          <cell r="P200">
            <v>1</v>
          </cell>
          <cell r="Q200">
            <v>0</v>
          </cell>
          <cell r="R200">
            <v>0</v>
          </cell>
          <cell r="S200">
            <v>4</v>
          </cell>
          <cell r="T200">
            <v>0</v>
          </cell>
          <cell r="U200">
            <v>926.39999996870756</v>
          </cell>
          <cell r="V200">
            <v>231.59999999217689</v>
          </cell>
          <cell r="W200">
            <v>0</v>
          </cell>
          <cell r="X200">
            <v>0</v>
          </cell>
          <cell r="Y200">
            <v>926.39999996870756</v>
          </cell>
          <cell r="Z200">
            <v>0</v>
          </cell>
        </row>
        <row r="201">
          <cell r="C201" t="str">
            <v>EDİRNE</v>
          </cell>
          <cell r="D201" t="str">
            <v>KEŞAN</v>
          </cell>
          <cell r="H201" t="str">
            <v>Dağıtım-AG</v>
          </cell>
          <cell r="I201" t="str">
            <v>Uzun</v>
          </cell>
          <cell r="J201" t="str">
            <v>Şebeke işletmecisi</v>
          </cell>
          <cell r="K201" t="str">
            <v>Bildirimli</v>
          </cell>
          <cell r="O201">
            <v>0</v>
          </cell>
          <cell r="P201">
            <v>164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37930.46666698996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C202" t="str">
            <v>TEKİRDAĞ</v>
          </cell>
          <cell r="D202" t="str">
            <v>ERGENE</v>
          </cell>
          <cell r="H202" t="str">
            <v>Dağıtım-AG</v>
          </cell>
          <cell r="I202" t="str">
            <v>Uzun</v>
          </cell>
          <cell r="J202" t="str">
            <v>Şebeke işletmecisi</v>
          </cell>
          <cell r="K202" t="str">
            <v>Bildirimsiz</v>
          </cell>
          <cell r="O202">
            <v>0</v>
          </cell>
          <cell r="P202">
            <v>296</v>
          </cell>
          <cell r="Q202">
            <v>0</v>
          </cell>
          <cell r="R202">
            <v>0</v>
          </cell>
          <cell r="S202">
            <v>0</v>
          </cell>
          <cell r="T202">
            <v>9</v>
          </cell>
          <cell r="U202">
            <v>0</v>
          </cell>
          <cell r="V202">
            <v>68415.466669276357</v>
          </cell>
          <cell r="W202">
            <v>0</v>
          </cell>
          <cell r="X202">
            <v>0</v>
          </cell>
          <cell r="Y202">
            <v>0</v>
          </cell>
          <cell r="Z202">
            <v>2080.2000000793487</v>
          </cell>
        </row>
        <row r="203">
          <cell r="C203" t="str">
            <v>TEKİRDAĞ</v>
          </cell>
          <cell r="D203" t="str">
            <v>HAYRABOLU</v>
          </cell>
          <cell r="H203" t="str">
            <v>Dağıtım-OG</v>
          </cell>
          <cell r="I203" t="str">
            <v>Uzun</v>
          </cell>
          <cell r="J203" t="str">
            <v>Şebeke işletmecisi</v>
          </cell>
          <cell r="K203" t="str">
            <v>Bildirimli</v>
          </cell>
          <cell r="O203">
            <v>0</v>
          </cell>
          <cell r="P203">
            <v>1</v>
          </cell>
          <cell r="Q203">
            <v>0</v>
          </cell>
          <cell r="R203">
            <v>0</v>
          </cell>
          <cell r="S203">
            <v>0</v>
          </cell>
          <cell r="T203">
            <v>500</v>
          </cell>
          <cell r="U203">
            <v>0</v>
          </cell>
          <cell r="V203">
            <v>230.98333332804032</v>
          </cell>
          <cell r="W203">
            <v>0</v>
          </cell>
          <cell r="X203">
            <v>0</v>
          </cell>
          <cell r="Y203">
            <v>0</v>
          </cell>
          <cell r="Z203">
            <v>115491.66666402016</v>
          </cell>
        </row>
        <row r="204">
          <cell r="C204" t="str">
            <v>KIRKLARELİ</v>
          </cell>
          <cell r="D204" t="str">
            <v>VİZE</v>
          </cell>
          <cell r="H204" t="str">
            <v>Dağıtım-AG</v>
          </cell>
          <cell r="I204" t="str">
            <v>Uzun</v>
          </cell>
          <cell r="J204" t="str">
            <v>Şebeke işletmecisi</v>
          </cell>
          <cell r="K204" t="str">
            <v>Bildirimsiz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14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3226.0666666994803</v>
          </cell>
        </row>
        <row r="205">
          <cell r="C205" t="str">
            <v>KIRKLARELİ</v>
          </cell>
          <cell r="D205" t="str">
            <v>LÜLEBURGAZ</v>
          </cell>
          <cell r="H205" t="str">
            <v>Dağıtım-OG</v>
          </cell>
          <cell r="I205" t="str">
            <v>Uzun</v>
          </cell>
          <cell r="J205" t="str">
            <v>Şebeke işletmecisi</v>
          </cell>
          <cell r="K205" t="str">
            <v>Bildirimsiz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6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1380.599999986589</v>
          </cell>
        </row>
        <row r="206">
          <cell r="C206" t="str">
            <v>TEKİRDAĞ</v>
          </cell>
          <cell r="D206" t="str">
            <v>ERGENE</v>
          </cell>
          <cell r="H206" t="str">
            <v>Dağıtım-AG</v>
          </cell>
          <cell r="I206" t="str">
            <v>Uzun</v>
          </cell>
          <cell r="J206" t="str">
            <v>Şebeke işletmecisi</v>
          </cell>
          <cell r="K206" t="str">
            <v>Bildirimsiz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31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7120.69999995525</v>
          </cell>
        </row>
        <row r="207">
          <cell r="C207" t="str">
            <v>TEKİRDAĞ</v>
          </cell>
          <cell r="D207" t="str">
            <v>ÇORLU</v>
          </cell>
          <cell r="H207" t="str">
            <v>Dağıtım-AG</v>
          </cell>
          <cell r="I207" t="str">
            <v>Uzun</v>
          </cell>
          <cell r="J207" t="str">
            <v>Şebeke işletmecisi</v>
          </cell>
          <cell r="K207" t="str">
            <v>Bildirimsiz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17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3904.3333333544433</v>
          </cell>
        </row>
        <row r="208">
          <cell r="C208" t="str">
            <v>TEKİRDAĞ</v>
          </cell>
          <cell r="D208" t="str">
            <v>ÇERKEZKÖY</v>
          </cell>
          <cell r="H208" t="str">
            <v>Dağıtım-OG</v>
          </cell>
          <cell r="I208" t="str">
            <v>Uzun</v>
          </cell>
          <cell r="J208" t="str">
            <v>Şebeke işletmecisi</v>
          </cell>
          <cell r="K208" t="str">
            <v>Bildirimli</v>
          </cell>
          <cell r="O208">
            <v>9</v>
          </cell>
          <cell r="P208">
            <v>104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2062.8000000666361</v>
          </cell>
          <cell r="V208">
            <v>23836.800000770018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C209" t="str">
            <v>TEKİRDAĞ</v>
          </cell>
          <cell r="D209" t="str">
            <v>SÜLEYMANPAŞA</v>
          </cell>
          <cell r="H209" t="str">
            <v>Dağıtım-AG</v>
          </cell>
          <cell r="I209" t="str">
            <v>Uzun</v>
          </cell>
          <cell r="J209" t="str">
            <v>Şebeke işletmecisi</v>
          </cell>
          <cell r="K209" t="str">
            <v>Bildirimsiz</v>
          </cell>
          <cell r="O209">
            <v>0</v>
          </cell>
          <cell r="P209">
            <v>25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5698.7499999522697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C210" t="str">
            <v>KIRKLARELİ</v>
          </cell>
          <cell r="D210" t="str">
            <v>KIRKLARELİMERKEZ</v>
          </cell>
          <cell r="H210" t="str">
            <v>Dağıtım-OG</v>
          </cell>
          <cell r="I210" t="str">
            <v>Uzun</v>
          </cell>
          <cell r="J210" t="str">
            <v>Şebeke İşletmecisi</v>
          </cell>
          <cell r="K210" t="str">
            <v>Bildirimsiz</v>
          </cell>
          <cell r="O210">
            <v>0</v>
          </cell>
          <cell r="P210">
            <v>0</v>
          </cell>
          <cell r="Q210">
            <v>5</v>
          </cell>
          <cell r="R210">
            <v>0</v>
          </cell>
          <cell r="S210">
            <v>9</v>
          </cell>
          <cell r="T210">
            <v>668</v>
          </cell>
          <cell r="U210">
            <v>0</v>
          </cell>
          <cell r="V210">
            <v>0</v>
          </cell>
          <cell r="W210">
            <v>1139.0833333251067</v>
          </cell>
          <cell r="X210">
            <v>0</v>
          </cell>
          <cell r="Y210">
            <v>2050.349999985192</v>
          </cell>
          <cell r="Z210">
            <v>152181.53333223425</v>
          </cell>
        </row>
        <row r="211">
          <cell r="C211" t="str">
            <v>KIRKLARELİ</v>
          </cell>
          <cell r="D211" t="str">
            <v>DEMİRKÖY</v>
          </cell>
          <cell r="H211" t="str">
            <v>Dağıtım-OG</v>
          </cell>
          <cell r="I211" t="str">
            <v>Uzun</v>
          </cell>
          <cell r="J211" t="str">
            <v>Şebeke işletmecisi</v>
          </cell>
          <cell r="K211" t="str">
            <v>Bildirimsiz</v>
          </cell>
          <cell r="O211">
            <v>0</v>
          </cell>
          <cell r="P211">
            <v>0</v>
          </cell>
          <cell r="Q211">
            <v>0</v>
          </cell>
          <cell r="R211">
            <v>4</v>
          </cell>
          <cell r="S211">
            <v>2</v>
          </cell>
          <cell r="T211">
            <v>182</v>
          </cell>
          <cell r="U211">
            <v>0</v>
          </cell>
          <cell r="V211">
            <v>0</v>
          </cell>
          <cell r="W211">
            <v>0</v>
          </cell>
          <cell r="X211">
            <v>909.60000002291054</v>
          </cell>
          <cell r="Y211">
            <v>454.80000001145527</v>
          </cell>
          <cell r="Z211">
            <v>41386.800001042429</v>
          </cell>
        </row>
        <row r="212">
          <cell r="C212" t="str">
            <v>TEKİRDAĞ</v>
          </cell>
          <cell r="D212" t="str">
            <v>MALKARA</v>
          </cell>
          <cell r="H212" t="str">
            <v>Dağıtım-OG</v>
          </cell>
          <cell r="I212" t="str">
            <v>Uzun</v>
          </cell>
          <cell r="J212" t="str">
            <v>Şebeke işletmecisi</v>
          </cell>
          <cell r="K212" t="str">
            <v>Bildirimli</v>
          </cell>
          <cell r="O212">
            <v>1</v>
          </cell>
          <cell r="P212">
            <v>529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225.33333333791234</v>
          </cell>
          <cell r="V212">
            <v>119201.33333575563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C213" t="str">
            <v>EDİRNE</v>
          </cell>
          <cell r="D213" t="str">
            <v>İPSALA</v>
          </cell>
          <cell r="H213" t="str">
            <v>Dağıtım-AG</v>
          </cell>
          <cell r="I213" t="str">
            <v>Uzun</v>
          </cell>
          <cell r="J213" t="str">
            <v>Şebeke işletmecisi</v>
          </cell>
          <cell r="K213" t="str">
            <v>Bildirimsiz</v>
          </cell>
          <cell r="O213">
            <v>0</v>
          </cell>
          <cell r="P213">
            <v>0</v>
          </cell>
          <cell r="Q213">
            <v>0</v>
          </cell>
          <cell r="R213">
            <v>98</v>
          </cell>
          <cell r="S213">
            <v>0</v>
          </cell>
          <cell r="T213">
            <v>4</v>
          </cell>
          <cell r="U213">
            <v>0</v>
          </cell>
          <cell r="V213">
            <v>0</v>
          </cell>
          <cell r="W213">
            <v>0</v>
          </cell>
          <cell r="X213">
            <v>21940.566666754894</v>
          </cell>
          <cell r="Y213">
            <v>0</v>
          </cell>
          <cell r="Z213">
            <v>895.53333333693445</v>
          </cell>
        </row>
        <row r="214">
          <cell r="C214" t="str">
            <v>KIRKLARELİ</v>
          </cell>
          <cell r="D214" t="str">
            <v>PEHLİVANKÖY</v>
          </cell>
          <cell r="H214" t="str">
            <v>Dağıtım-OG</v>
          </cell>
          <cell r="I214" t="str">
            <v>Uzun</v>
          </cell>
          <cell r="J214" t="str">
            <v>Şebeke işletmecisi</v>
          </cell>
          <cell r="K214" t="str">
            <v>Bildirimli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15</v>
          </cell>
          <cell r="T214">
            <v>628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3345.5000000190921</v>
          </cell>
          <cell r="Z214">
            <v>140064.93333413266</v>
          </cell>
        </row>
        <row r="215">
          <cell r="C215" t="str">
            <v>EDİRNE</v>
          </cell>
          <cell r="D215" t="str">
            <v>EDİRNEMERKEZ</v>
          </cell>
          <cell r="H215" t="str">
            <v>Dağıtım-AG</v>
          </cell>
          <cell r="I215" t="str">
            <v>Uzun</v>
          </cell>
          <cell r="J215" t="str">
            <v>Şebeke işletmecisi</v>
          </cell>
          <cell r="K215" t="str">
            <v>Bildirimli</v>
          </cell>
          <cell r="O215">
            <v>0</v>
          </cell>
          <cell r="P215">
            <v>172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38321.599999847822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C216" t="str">
            <v>TEKİRDAĞ</v>
          </cell>
          <cell r="D216" t="str">
            <v>ÇORLU</v>
          </cell>
          <cell r="H216" t="str">
            <v>Dağıtım-AG</v>
          </cell>
          <cell r="I216" t="str">
            <v>Uzun</v>
          </cell>
          <cell r="J216" t="str">
            <v>Şebeke işletmecisi</v>
          </cell>
          <cell r="K216" t="str">
            <v>Bildirimsiz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44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9781.1999998893589</v>
          </cell>
        </row>
        <row r="217">
          <cell r="C217" t="str">
            <v>KIRKLARELİ</v>
          </cell>
          <cell r="D217" t="str">
            <v>KIRKLARELİMERKEZ</v>
          </cell>
          <cell r="H217" t="str">
            <v>Dağıtım-AG</v>
          </cell>
          <cell r="I217" t="str">
            <v>Uzun</v>
          </cell>
          <cell r="J217" t="str">
            <v>Şebeke işletmecisi</v>
          </cell>
          <cell r="K217" t="str">
            <v>Bildirimli</v>
          </cell>
          <cell r="O217">
            <v>0</v>
          </cell>
          <cell r="P217">
            <v>22</v>
          </cell>
          <cell r="Q217">
            <v>0</v>
          </cell>
          <cell r="R217">
            <v>222</v>
          </cell>
          <cell r="S217">
            <v>0</v>
          </cell>
          <cell r="T217">
            <v>0</v>
          </cell>
          <cell r="U217">
            <v>0</v>
          </cell>
          <cell r="V217">
            <v>4885.4666665638797</v>
          </cell>
          <cell r="W217">
            <v>0</v>
          </cell>
          <cell r="X217">
            <v>49298.799998962786</v>
          </cell>
          <cell r="Y217">
            <v>0</v>
          </cell>
          <cell r="Z217">
            <v>0</v>
          </cell>
        </row>
        <row r="218">
          <cell r="C218" t="str">
            <v>KIRKLARELİ</v>
          </cell>
          <cell r="D218" t="str">
            <v>VİZE</v>
          </cell>
          <cell r="H218" t="str">
            <v>Dağıtım-AG</v>
          </cell>
          <cell r="I218" t="str">
            <v>Uzun</v>
          </cell>
          <cell r="J218" t="str">
            <v>Şebeke işletmecisi</v>
          </cell>
          <cell r="K218" t="str">
            <v>Bildirimsiz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1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221.80000000633299</v>
          </cell>
        </row>
        <row r="219">
          <cell r="C219" t="str">
            <v>KIRKLARELİ</v>
          </cell>
          <cell r="D219" t="str">
            <v>DEMİRKÖY</v>
          </cell>
          <cell r="H219" t="str">
            <v>Dağıtım-AG</v>
          </cell>
          <cell r="I219" t="str">
            <v>Uzun</v>
          </cell>
          <cell r="J219" t="str">
            <v>Şebeke işletmecisi</v>
          </cell>
          <cell r="K219" t="str">
            <v>Bildirimsiz</v>
          </cell>
          <cell r="O219">
            <v>0</v>
          </cell>
          <cell r="P219">
            <v>0</v>
          </cell>
          <cell r="Q219">
            <v>0</v>
          </cell>
          <cell r="R219">
            <v>359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79614.233336570906</v>
          </cell>
          <cell r="Y219">
            <v>0</v>
          </cell>
          <cell r="Z219">
            <v>0</v>
          </cell>
        </row>
        <row r="220">
          <cell r="C220" t="str">
            <v>TEKİRDAĞ</v>
          </cell>
          <cell r="D220" t="str">
            <v>KAPAKLI</v>
          </cell>
          <cell r="H220" t="str">
            <v>Dağıtım-OG</v>
          </cell>
          <cell r="I220" t="str">
            <v>Uzun</v>
          </cell>
          <cell r="J220" t="str">
            <v>Şebeke işletmecisi</v>
          </cell>
          <cell r="K220" t="str">
            <v>Bildirimli</v>
          </cell>
          <cell r="O220">
            <v>94</v>
          </cell>
          <cell r="P220">
            <v>20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20844.49999949662</v>
          </cell>
          <cell r="V220">
            <v>4434.9999998928979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C221" t="str">
            <v>TEKİRDAĞ</v>
          </cell>
          <cell r="D221" t="str">
            <v>MARMARAEREĞLİSİ</v>
          </cell>
          <cell r="H221" t="str">
            <v>Dağıtım-OG</v>
          </cell>
          <cell r="I221" t="str">
            <v>Uzun</v>
          </cell>
          <cell r="J221" t="str">
            <v>Dışsal</v>
          </cell>
          <cell r="K221" t="str">
            <v>Bildirimsiz</v>
          </cell>
          <cell r="O221">
            <v>0</v>
          </cell>
          <cell r="P221">
            <v>12</v>
          </cell>
          <cell r="Q221">
            <v>11</v>
          </cell>
          <cell r="R221">
            <v>3354</v>
          </cell>
          <cell r="S221">
            <v>0</v>
          </cell>
          <cell r="T221">
            <v>0</v>
          </cell>
          <cell r="U221">
            <v>0</v>
          </cell>
          <cell r="V221">
            <v>2646.4000000432134</v>
          </cell>
          <cell r="W221">
            <v>2425.8666667062789</v>
          </cell>
          <cell r="X221">
            <v>739668.80001207814</v>
          </cell>
          <cell r="Y221">
            <v>0</v>
          </cell>
          <cell r="Z221">
            <v>0</v>
          </cell>
        </row>
        <row r="222">
          <cell r="C222" t="str">
            <v>KIRKLARELİ</v>
          </cell>
          <cell r="D222" t="str">
            <v>DEMİRKÖY</v>
          </cell>
          <cell r="H222" t="str">
            <v>Dağıtım-OG</v>
          </cell>
          <cell r="I222" t="str">
            <v>Uzun</v>
          </cell>
          <cell r="J222" t="str">
            <v>Şebeke işletmecisi</v>
          </cell>
          <cell r="K222" t="str">
            <v>Bildirimsiz</v>
          </cell>
          <cell r="O222">
            <v>0</v>
          </cell>
          <cell r="P222">
            <v>0</v>
          </cell>
          <cell r="Q222">
            <v>1</v>
          </cell>
          <cell r="R222">
            <v>11</v>
          </cell>
          <cell r="S222">
            <v>3</v>
          </cell>
          <cell r="T222">
            <v>440</v>
          </cell>
          <cell r="U222">
            <v>0</v>
          </cell>
          <cell r="V222">
            <v>0</v>
          </cell>
          <cell r="W222">
            <v>219.68333333730698</v>
          </cell>
          <cell r="X222">
            <v>2416.5166667103767</v>
          </cell>
          <cell r="Y222">
            <v>659.05000001192093</v>
          </cell>
          <cell r="Z222">
            <v>96660.66666841507</v>
          </cell>
        </row>
        <row r="223">
          <cell r="C223" t="str">
            <v>TEKİRDAĞ</v>
          </cell>
          <cell r="D223" t="str">
            <v>ÇORLU</v>
          </cell>
          <cell r="H223" t="str">
            <v>Dağıtım-OG</v>
          </cell>
          <cell r="I223" t="str">
            <v>Uzun</v>
          </cell>
          <cell r="J223" t="str">
            <v>Şebeke işletmecisi</v>
          </cell>
          <cell r="K223" t="str">
            <v>Bildirimli</v>
          </cell>
          <cell r="O223">
            <v>4</v>
          </cell>
          <cell r="P223">
            <v>37</v>
          </cell>
          <cell r="Q223">
            <v>0</v>
          </cell>
          <cell r="R223">
            <v>0</v>
          </cell>
          <cell r="S223">
            <v>0</v>
          </cell>
          <cell r="T223">
            <v>2</v>
          </cell>
          <cell r="U223">
            <v>872.33333331998438</v>
          </cell>
          <cell r="V223">
            <v>8069.0833332098555</v>
          </cell>
          <cell r="W223">
            <v>0</v>
          </cell>
          <cell r="X223">
            <v>0</v>
          </cell>
          <cell r="Y223">
            <v>0</v>
          </cell>
          <cell r="Z223">
            <v>436.16666665999219</v>
          </cell>
        </row>
        <row r="224">
          <cell r="C224" t="str">
            <v>KIRKLARELİ</v>
          </cell>
          <cell r="D224" t="str">
            <v>KIRKLARELİMERKEZ</v>
          </cell>
          <cell r="H224" t="str">
            <v>Dağıtım-OG</v>
          </cell>
          <cell r="I224" t="str">
            <v>Uzun</v>
          </cell>
          <cell r="J224" t="str">
            <v>Şebeke işletmecisi</v>
          </cell>
          <cell r="K224" t="str">
            <v>Bildirimli</v>
          </cell>
          <cell r="O224">
            <v>0</v>
          </cell>
          <cell r="P224">
            <v>332</v>
          </cell>
          <cell r="Q224">
            <v>0</v>
          </cell>
          <cell r="R224">
            <v>1</v>
          </cell>
          <cell r="S224">
            <v>0</v>
          </cell>
          <cell r="T224">
            <v>1</v>
          </cell>
          <cell r="U224">
            <v>0</v>
          </cell>
          <cell r="V224">
            <v>72375.999999381602</v>
          </cell>
          <cell r="W224">
            <v>0</v>
          </cell>
          <cell r="X224">
            <v>217.99999999813735</v>
          </cell>
          <cell r="Y224">
            <v>0</v>
          </cell>
          <cell r="Z224">
            <v>217.99999999813735</v>
          </cell>
        </row>
        <row r="225">
          <cell r="C225" t="str">
            <v>KIRKLARELİ</v>
          </cell>
          <cell r="D225" t="str">
            <v>KIRKLARELİMERKEZ</v>
          </cell>
          <cell r="H225" t="str">
            <v>Dağıtım-OG</v>
          </cell>
          <cell r="I225" t="str">
            <v>Uzun</v>
          </cell>
          <cell r="J225" t="str">
            <v>Şebeke işletmecisi</v>
          </cell>
          <cell r="K225" t="str">
            <v>Bildirimsiz</v>
          </cell>
          <cell r="O225">
            <v>0</v>
          </cell>
          <cell r="P225">
            <v>667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145183.66666237009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C226" t="str">
            <v>EDİRNE</v>
          </cell>
          <cell r="D226" t="str">
            <v>ENEZ</v>
          </cell>
          <cell r="H226" t="str">
            <v>Dağıtım-AG</v>
          </cell>
          <cell r="I226" t="str">
            <v>Uzun</v>
          </cell>
          <cell r="J226" t="str">
            <v>Şebeke işletmecisi</v>
          </cell>
          <cell r="K226" t="str">
            <v>Bildirimsiz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1303.6000000289641</v>
          </cell>
        </row>
        <row r="227">
          <cell r="C227" t="str">
            <v>TEKİRDAĞ</v>
          </cell>
          <cell r="D227" t="str">
            <v>ÇERKEZKÖY</v>
          </cell>
          <cell r="H227" t="str">
            <v>Dağıtım-AG</v>
          </cell>
          <cell r="I227" t="str">
            <v>Uzun</v>
          </cell>
          <cell r="J227" t="str">
            <v>Şebeke işletmecisi</v>
          </cell>
          <cell r="K227" t="str">
            <v>Bildirimsiz</v>
          </cell>
          <cell r="O227">
            <v>0</v>
          </cell>
          <cell r="P227">
            <v>16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3463.7333333306015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C228" t="str">
            <v>TEKİRDAĞ</v>
          </cell>
          <cell r="D228" t="str">
            <v>SÜLEYMANPAŞA</v>
          </cell>
          <cell r="H228" t="str">
            <v>İletim</v>
          </cell>
          <cell r="I228" t="str">
            <v>Uzun</v>
          </cell>
          <cell r="J228" t="str">
            <v>Şebeke işletmecisi</v>
          </cell>
          <cell r="K228" t="str">
            <v>Bildirimli</v>
          </cell>
          <cell r="O228">
            <v>1</v>
          </cell>
          <cell r="P228">
            <v>81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215.95000000088476</v>
          </cell>
          <cell r="V228">
            <v>17491.950000071665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C229" t="str">
            <v>TEKİRDAĞ</v>
          </cell>
          <cell r="D229" t="str">
            <v>MARMARAEREĞLİSİ</v>
          </cell>
          <cell r="H229" t="str">
            <v>Dağıtım-AG</v>
          </cell>
          <cell r="I229" t="str">
            <v>Uzun</v>
          </cell>
          <cell r="J229" t="str">
            <v>Şebeke işletmecisi</v>
          </cell>
          <cell r="K229" t="str">
            <v>Bildirimsiz</v>
          </cell>
          <cell r="O229">
            <v>0</v>
          </cell>
          <cell r="P229">
            <v>0</v>
          </cell>
          <cell r="Q229">
            <v>0</v>
          </cell>
          <cell r="R229">
            <v>11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2372.8833334345836</v>
          </cell>
          <cell r="Y229">
            <v>0</v>
          </cell>
          <cell r="Z229">
            <v>0</v>
          </cell>
        </row>
        <row r="230">
          <cell r="C230" t="str">
            <v>TEKİRDAĞ</v>
          </cell>
          <cell r="D230" t="str">
            <v>ÇERKEZKÖY</v>
          </cell>
          <cell r="H230" t="str">
            <v>Dağıtım-AG</v>
          </cell>
          <cell r="I230" t="str">
            <v>Uzun</v>
          </cell>
          <cell r="J230" t="str">
            <v>Şebeke işletmecisi</v>
          </cell>
          <cell r="K230" t="str">
            <v>Bildirimsiz</v>
          </cell>
          <cell r="O230">
            <v>0</v>
          </cell>
          <cell r="P230">
            <v>13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2803.2333333359566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C231" t="str">
            <v>TEKİRDAĞ</v>
          </cell>
          <cell r="D231" t="str">
            <v>MARMARAEREĞLİSİ</v>
          </cell>
          <cell r="H231" t="str">
            <v>Dağıtım-AG</v>
          </cell>
          <cell r="I231" t="str">
            <v>Uzun</v>
          </cell>
          <cell r="J231" t="str">
            <v>Şebeke işletmecisi</v>
          </cell>
          <cell r="K231" t="str">
            <v>Bildirimsiz</v>
          </cell>
          <cell r="O231">
            <v>0</v>
          </cell>
          <cell r="P231">
            <v>0</v>
          </cell>
          <cell r="Q231">
            <v>0</v>
          </cell>
          <cell r="R231">
            <v>1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215.53333334159106</v>
          </cell>
          <cell r="Y231">
            <v>0</v>
          </cell>
          <cell r="Z231">
            <v>0</v>
          </cell>
        </row>
        <row r="232">
          <cell r="C232" t="str">
            <v>KIRKLARELİ</v>
          </cell>
          <cell r="D232" t="str">
            <v>KIRKLARELİMERKEZ</v>
          </cell>
          <cell r="H232" t="str">
            <v>Dağıtım-AG</v>
          </cell>
          <cell r="I232" t="str">
            <v>Uzun</v>
          </cell>
          <cell r="J232" t="str">
            <v>Şebeke işletmecisi</v>
          </cell>
          <cell r="K232" t="str">
            <v>Bildirimli</v>
          </cell>
          <cell r="O232">
            <v>0</v>
          </cell>
          <cell r="P232">
            <v>176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37907.466665636748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C233" t="str">
            <v>TEKİRDAĞ</v>
          </cell>
          <cell r="D233" t="str">
            <v>SÜLEYMANPAŞA</v>
          </cell>
          <cell r="H233" t="str">
            <v>İletim</v>
          </cell>
          <cell r="I233" t="str">
            <v>Uzun</v>
          </cell>
          <cell r="J233" t="str">
            <v>Şebeke işletmecisi</v>
          </cell>
          <cell r="K233" t="str">
            <v>Bildirimli</v>
          </cell>
          <cell r="O233">
            <v>1</v>
          </cell>
          <cell r="P233">
            <v>81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215.3666666673962</v>
          </cell>
          <cell r="V233">
            <v>17444.700000059092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C234" t="str">
            <v>TEKİRDAĞ</v>
          </cell>
          <cell r="D234" t="str">
            <v>MURATLI</v>
          </cell>
          <cell r="H234" t="str">
            <v>Dağıtım-OG</v>
          </cell>
          <cell r="I234" t="str">
            <v>Uzun</v>
          </cell>
          <cell r="J234" t="str">
            <v>Şebeke işletmecisi</v>
          </cell>
          <cell r="K234" t="str">
            <v>Bildirimli</v>
          </cell>
          <cell r="O234">
            <v>0</v>
          </cell>
          <cell r="P234">
            <v>47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10117.533333253814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C235" t="str">
            <v>TEKİRDAĞ</v>
          </cell>
          <cell r="D235" t="str">
            <v>MARMARAEREĞLİSİ</v>
          </cell>
          <cell r="H235" t="str">
            <v>Dağıtım-AG</v>
          </cell>
          <cell r="I235" t="str">
            <v>Uzun</v>
          </cell>
          <cell r="J235" t="str">
            <v>Şebeke işletmecisi</v>
          </cell>
          <cell r="K235" t="str">
            <v>Bildirimsiz</v>
          </cell>
          <cell r="O235">
            <v>0</v>
          </cell>
          <cell r="P235">
            <v>9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1937.1000000089407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C236" t="str">
            <v>EDİRNE</v>
          </cell>
          <cell r="D236" t="str">
            <v>MERİÇ</v>
          </cell>
          <cell r="H236" t="str">
            <v>Dağıtım-OG</v>
          </cell>
          <cell r="I236" t="str">
            <v>Uzun</v>
          </cell>
          <cell r="J236" t="str">
            <v>Şebeke işletmecisi</v>
          </cell>
          <cell r="K236" t="str">
            <v>Bildirimsiz</v>
          </cell>
          <cell r="O236">
            <v>1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65</v>
          </cell>
          <cell r="U236">
            <v>215.21666667424142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13989.083333825693</v>
          </cell>
        </row>
        <row r="237">
          <cell r="C237" t="str">
            <v>EDİRNE</v>
          </cell>
          <cell r="D237" t="str">
            <v>ENEZ</v>
          </cell>
          <cell r="H237" t="str">
            <v>Dağıtım-AG</v>
          </cell>
          <cell r="I237" t="str">
            <v>Uzun</v>
          </cell>
          <cell r="J237" t="str">
            <v>Şebeke işletmecisi</v>
          </cell>
          <cell r="K237" t="str">
            <v>Bildirimli</v>
          </cell>
          <cell r="O237">
            <v>0</v>
          </cell>
          <cell r="P237">
            <v>0</v>
          </cell>
          <cell r="Q237">
            <v>0</v>
          </cell>
          <cell r="R237">
            <v>201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43248.500001279172</v>
          </cell>
          <cell r="Y237">
            <v>0</v>
          </cell>
          <cell r="Z237">
            <v>0</v>
          </cell>
        </row>
        <row r="238">
          <cell r="C238" t="str">
            <v>TEKİRDAĞ</v>
          </cell>
          <cell r="D238" t="str">
            <v>HAYRABOLU</v>
          </cell>
          <cell r="H238" t="str">
            <v>Dağıtım-OG</v>
          </cell>
          <cell r="I238" t="str">
            <v>Uzun</v>
          </cell>
          <cell r="J238" t="str">
            <v>Şebeke işletmecisi</v>
          </cell>
          <cell r="K238" t="str">
            <v>Bildirimsiz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1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214.94999999762513</v>
          </cell>
        </row>
        <row r="239">
          <cell r="C239" t="str">
            <v>KIRKLARELİ</v>
          </cell>
          <cell r="D239" t="str">
            <v>LÜLEBURGAZ</v>
          </cell>
          <cell r="H239" t="str">
            <v>Dağıtım-OG</v>
          </cell>
          <cell r="I239" t="str">
            <v>Uzun</v>
          </cell>
          <cell r="J239" t="str">
            <v>Şebeke İşletmecisi</v>
          </cell>
          <cell r="K239" t="str">
            <v>Bildirimsiz</v>
          </cell>
          <cell r="O239">
            <v>34</v>
          </cell>
          <cell r="P239">
            <v>0</v>
          </cell>
          <cell r="Q239">
            <v>0</v>
          </cell>
          <cell r="R239">
            <v>0</v>
          </cell>
          <cell r="S239">
            <v>7</v>
          </cell>
          <cell r="T239">
            <v>1</v>
          </cell>
          <cell r="U239">
            <v>7300.9333333116956</v>
          </cell>
          <cell r="V239">
            <v>0</v>
          </cell>
          <cell r="W239">
            <v>0</v>
          </cell>
          <cell r="X239">
            <v>0</v>
          </cell>
          <cell r="Y239">
            <v>1503.1333333288785</v>
          </cell>
          <cell r="Z239">
            <v>214.73333333269693</v>
          </cell>
        </row>
        <row r="240">
          <cell r="C240" t="str">
            <v>TEKİRDAĞ</v>
          </cell>
          <cell r="D240" t="str">
            <v>KAPAKLI</v>
          </cell>
          <cell r="H240" t="str">
            <v>Dağıtım-AG</v>
          </cell>
          <cell r="I240" t="str">
            <v>Uzun</v>
          </cell>
          <cell r="J240" t="str">
            <v>Şebeke işletmecisi</v>
          </cell>
          <cell r="K240" t="str">
            <v>Bildirimsiz</v>
          </cell>
          <cell r="O240">
            <v>0</v>
          </cell>
          <cell r="P240">
            <v>1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214.63333333027549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C241" t="str">
            <v>EDİRNE</v>
          </cell>
          <cell r="D241" t="str">
            <v>EDİRNEMERKEZ</v>
          </cell>
          <cell r="H241" t="str">
            <v>Dağıtım-OG</v>
          </cell>
          <cell r="I241" t="str">
            <v>Uzun</v>
          </cell>
          <cell r="J241" t="str">
            <v>Şebeke işletmecisi</v>
          </cell>
          <cell r="K241" t="str">
            <v>Bildirimsiz</v>
          </cell>
          <cell r="O241">
            <v>4</v>
          </cell>
          <cell r="P241">
            <v>0</v>
          </cell>
          <cell r="Q241">
            <v>0</v>
          </cell>
          <cell r="R241">
            <v>0</v>
          </cell>
          <cell r="S241">
            <v>4</v>
          </cell>
          <cell r="T241">
            <v>0</v>
          </cell>
          <cell r="U241">
            <v>850.80000002402812</v>
          </cell>
          <cell r="V241">
            <v>0</v>
          </cell>
          <cell r="W241">
            <v>0</v>
          </cell>
          <cell r="X241">
            <v>0</v>
          </cell>
          <cell r="Y241">
            <v>850.80000002402812</v>
          </cell>
          <cell r="Z241">
            <v>0</v>
          </cell>
        </row>
        <row r="242">
          <cell r="C242" t="str">
            <v>EDİRNE</v>
          </cell>
          <cell r="D242" t="str">
            <v>UZUNKÖPRÜ</v>
          </cell>
          <cell r="H242" t="str">
            <v>Dağıtım-OG</v>
          </cell>
          <cell r="I242" t="str">
            <v>Uzun</v>
          </cell>
          <cell r="J242" t="str">
            <v>Şebeke işletmecisi</v>
          </cell>
          <cell r="K242" t="str">
            <v>Bildirimli</v>
          </cell>
          <cell r="O242">
            <v>2</v>
          </cell>
          <cell r="P242">
            <v>1</v>
          </cell>
          <cell r="Q242">
            <v>2</v>
          </cell>
          <cell r="R242">
            <v>1</v>
          </cell>
          <cell r="S242">
            <v>3</v>
          </cell>
          <cell r="T242">
            <v>402</v>
          </cell>
          <cell r="U242">
            <v>425.19999998621643</v>
          </cell>
          <cell r="V242">
            <v>212.59999999310821</v>
          </cell>
          <cell r="W242">
            <v>425.19999998621643</v>
          </cell>
          <cell r="X242">
            <v>212.59999999310821</v>
          </cell>
          <cell r="Y242">
            <v>637.79999997932464</v>
          </cell>
          <cell r="Z242">
            <v>85465.199997229502</v>
          </cell>
        </row>
        <row r="243">
          <cell r="C243" t="str">
            <v>EDİRNE</v>
          </cell>
          <cell r="D243" t="str">
            <v>EDİRNEMERKEZ</v>
          </cell>
          <cell r="H243" t="str">
            <v>Dağıtım-AG</v>
          </cell>
          <cell r="I243" t="str">
            <v>Uzun</v>
          </cell>
          <cell r="J243" t="str">
            <v>Şebeke işletmecisi</v>
          </cell>
          <cell r="K243" t="str">
            <v>Bildirimsiz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179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38004.683333372232</v>
          </cell>
        </row>
        <row r="244">
          <cell r="C244" t="str">
            <v>EDİRNE</v>
          </cell>
          <cell r="D244" t="str">
            <v>HAVSA</v>
          </cell>
          <cell r="H244" t="str">
            <v>Dağıtım-OG</v>
          </cell>
          <cell r="I244" t="str">
            <v>Uzun</v>
          </cell>
          <cell r="J244" t="str">
            <v>Şebeke işletmecisi</v>
          </cell>
          <cell r="K244" t="str">
            <v>Bildirimsiz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1</v>
          </cell>
          <cell r="T244">
            <v>1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212.23333333502524</v>
          </cell>
          <cell r="Z244">
            <v>212.23333333502524</v>
          </cell>
        </row>
        <row r="245">
          <cell r="C245" t="str">
            <v>EDİRNE</v>
          </cell>
          <cell r="D245" t="str">
            <v>İPSALA</v>
          </cell>
          <cell r="H245" t="str">
            <v>Dağıtım-OG</v>
          </cell>
          <cell r="I245" t="str">
            <v>Uzun</v>
          </cell>
          <cell r="J245" t="str">
            <v>Şebeke işletmecisi</v>
          </cell>
          <cell r="K245" t="str">
            <v>Bildirimsiz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212.16666666325182</v>
          </cell>
          <cell r="Z245">
            <v>0</v>
          </cell>
        </row>
        <row r="246">
          <cell r="C246" t="str">
            <v>EDİRNE</v>
          </cell>
          <cell r="D246" t="str">
            <v>ENEZ</v>
          </cell>
          <cell r="H246" t="str">
            <v>Dağıtım-OG</v>
          </cell>
          <cell r="I246" t="str">
            <v>Uzun</v>
          </cell>
          <cell r="J246" t="str">
            <v>Şebeke işletmecisi</v>
          </cell>
          <cell r="K246" t="str">
            <v>Bildirimsiz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214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45289.533332828432</v>
          </cell>
        </row>
        <row r="247">
          <cell r="C247" t="str">
            <v>EDİRNE</v>
          </cell>
          <cell r="D247" t="str">
            <v>LALAPAŞA</v>
          </cell>
          <cell r="H247" t="str">
            <v>Dağıtım-OG</v>
          </cell>
          <cell r="I247" t="str">
            <v>Uzun</v>
          </cell>
          <cell r="J247" t="str">
            <v>Şebeke işletmecisi</v>
          </cell>
          <cell r="K247" t="str">
            <v>Bildirimsiz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211.51666666846722</v>
          </cell>
          <cell r="Z247">
            <v>0</v>
          </cell>
        </row>
        <row r="248">
          <cell r="C248" t="str">
            <v>TEKİRDAĞ</v>
          </cell>
          <cell r="D248" t="str">
            <v>SARAY</v>
          </cell>
          <cell r="H248" t="str">
            <v>Dağıtım-AG</v>
          </cell>
          <cell r="I248" t="str">
            <v>Uzun</v>
          </cell>
          <cell r="J248" t="str">
            <v>Şebeke işletmecisi</v>
          </cell>
          <cell r="K248" t="str">
            <v>Bildirimli</v>
          </cell>
          <cell r="O248">
            <v>0</v>
          </cell>
          <cell r="P248">
            <v>0</v>
          </cell>
          <cell r="Q248">
            <v>0</v>
          </cell>
          <cell r="R248">
            <v>47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9918.5666668578051</v>
          </cell>
          <cell r="Y248">
            <v>0</v>
          </cell>
          <cell r="Z248">
            <v>0</v>
          </cell>
        </row>
        <row r="249">
          <cell r="C249" t="str">
            <v>TEKİRDAĞ</v>
          </cell>
          <cell r="D249" t="str">
            <v>HAYRABOLU</v>
          </cell>
          <cell r="H249" t="str">
            <v>Dağıtım-AG</v>
          </cell>
          <cell r="I249" t="str">
            <v>Uzun</v>
          </cell>
          <cell r="J249" t="str">
            <v>Şebeke işletmecisi</v>
          </cell>
          <cell r="K249" t="str">
            <v>Bildirimli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150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31520.000000484288</v>
          </cell>
        </row>
        <row r="250">
          <cell r="C250" t="str">
            <v>KIRKLARELİ</v>
          </cell>
          <cell r="D250" t="str">
            <v>KIRKLARELİMERKEZ</v>
          </cell>
          <cell r="H250" t="str">
            <v>Dağıtım-OG</v>
          </cell>
          <cell r="I250" t="str">
            <v>Uzun</v>
          </cell>
          <cell r="J250" t="str">
            <v>Şebeke işletmecisi</v>
          </cell>
          <cell r="K250" t="str">
            <v>Bildirimsiz</v>
          </cell>
          <cell r="O250">
            <v>0</v>
          </cell>
          <cell r="P250">
            <v>471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98917.849998545134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C251" t="str">
            <v>TEKİRDAĞ</v>
          </cell>
          <cell r="D251" t="str">
            <v>KAPAKLI</v>
          </cell>
          <cell r="H251" t="str">
            <v>Dağıtım-AG</v>
          </cell>
          <cell r="I251" t="str">
            <v>Uzun</v>
          </cell>
          <cell r="J251" t="str">
            <v>Şebeke işletmecisi</v>
          </cell>
          <cell r="K251" t="str">
            <v>Bildirimsiz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209.99999999301508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C252" t="str">
            <v>TEKİRDAĞ</v>
          </cell>
          <cell r="D252" t="str">
            <v>ÇORLU</v>
          </cell>
          <cell r="H252" t="str">
            <v>Dağıtım-OG</v>
          </cell>
          <cell r="I252" t="str">
            <v>Uzun</v>
          </cell>
          <cell r="J252" t="str">
            <v>Şebeke işletmecisi</v>
          </cell>
          <cell r="K252" t="str">
            <v>Bildirimli</v>
          </cell>
          <cell r="O252">
            <v>15</v>
          </cell>
          <cell r="P252">
            <v>6</v>
          </cell>
          <cell r="Q252">
            <v>0</v>
          </cell>
          <cell r="R252">
            <v>0</v>
          </cell>
          <cell r="S252">
            <v>13</v>
          </cell>
          <cell r="T252">
            <v>0</v>
          </cell>
          <cell r="U252">
            <v>3149.2500000342261</v>
          </cell>
          <cell r="V252">
            <v>1259.7000000136904</v>
          </cell>
          <cell r="W252">
            <v>0</v>
          </cell>
          <cell r="X252">
            <v>0</v>
          </cell>
          <cell r="Y252">
            <v>2729.3500000296626</v>
          </cell>
          <cell r="Z252">
            <v>0</v>
          </cell>
        </row>
        <row r="253">
          <cell r="C253" t="str">
            <v>TEKİRDAĞ</v>
          </cell>
          <cell r="D253" t="str">
            <v>SARAY</v>
          </cell>
          <cell r="H253" t="str">
            <v>Dağıtım-AG</v>
          </cell>
          <cell r="I253" t="str">
            <v>Uzun</v>
          </cell>
          <cell r="J253" t="str">
            <v>Şebeke işletmecisi</v>
          </cell>
          <cell r="K253" t="str">
            <v>Bildirimli</v>
          </cell>
          <cell r="O253">
            <v>0</v>
          </cell>
          <cell r="P253">
            <v>0</v>
          </cell>
          <cell r="Q253">
            <v>0</v>
          </cell>
          <cell r="R253">
            <v>25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5246.666666760575</v>
          </cell>
          <cell r="Y253">
            <v>0</v>
          </cell>
          <cell r="Z253">
            <v>0</v>
          </cell>
        </row>
        <row r="254">
          <cell r="C254" t="str">
            <v>KIRKLARELİ</v>
          </cell>
          <cell r="D254" t="str">
            <v>KOFÇAZ</v>
          </cell>
          <cell r="H254" t="str">
            <v>Dağıtım-AG</v>
          </cell>
          <cell r="I254" t="str">
            <v>Uzun</v>
          </cell>
          <cell r="J254" t="str">
            <v>Şebeke işletmecisi</v>
          </cell>
          <cell r="K254" t="str">
            <v>Bildirimsiz</v>
          </cell>
          <cell r="O254">
            <v>0</v>
          </cell>
          <cell r="P254">
            <v>0</v>
          </cell>
          <cell r="Q254">
            <v>0</v>
          </cell>
          <cell r="R254">
            <v>18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3771.9000000553206</v>
          </cell>
          <cell r="Y254">
            <v>0</v>
          </cell>
          <cell r="Z254">
            <v>0</v>
          </cell>
        </row>
        <row r="255">
          <cell r="C255" t="str">
            <v>KIRKLARELİ</v>
          </cell>
          <cell r="D255" t="str">
            <v>DEMİRKÖY</v>
          </cell>
          <cell r="H255" t="str">
            <v>Dağıtım-AG</v>
          </cell>
          <cell r="I255" t="str">
            <v>Uzun</v>
          </cell>
          <cell r="J255" t="str">
            <v>Şebeke işletmecisi</v>
          </cell>
          <cell r="K255" t="str">
            <v>Bildirimsiz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11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2302.2999999672174</v>
          </cell>
        </row>
        <row r="256">
          <cell r="C256" t="str">
            <v>TEKİRDAĞ</v>
          </cell>
          <cell r="D256" t="str">
            <v>ÇERKEZKÖY</v>
          </cell>
          <cell r="H256" t="str">
            <v>Dağıtım-OG</v>
          </cell>
          <cell r="I256" t="str">
            <v>Uzun</v>
          </cell>
          <cell r="J256" t="str">
            <v>Şebeke işletmecisi</v>
          </cell>
          <cell r="K256" t="str">
            <v>Bildirimli</v>
          </cell>
          <cell r="O256">
            <v>4</v>
          </cell>
          <cell r="P256">
            <v>42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836.66666669771075</v>
          </cell>
          <cell r="V256">
            <v>8785.0000003259629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C257" t="str">
            <v>EDİRNE</v>
          </cell>
          <cell r="D257" t="str">
            <v>EDİRNEMERKEZ</v>
          </cell>
          <cell r="H257" t="str">
            <v>Dağıtım-OG</v>
          </cell>
          <cell r="I257" t="str">
            <v>Uzun</v>
          </cell>
          <cell r="J257" t="str">
            <v>Şebeke işletmecisi</v>
          </cell>
          <cell r="K257" t="str">
            <v>Bildirimsiz</v>
          </cell>
          <cell r="O257">
            <v>5</v>
          </cell>
          <cell r="P257">
            <v>3</v>
          </cell>
          <cell r="Q257">
            <v>0</v>
          </cell>
          <cell r="R257">
            <v>0</v>
          </cell>
          <cell r="S257">
            <v>46</v>
          </cell>
          <cell r="T257">
            <v>994</v>
          </cell>
          <cell r="U257">
            <v>1038.916666660225</v>
          </cell>
          <cell r="V257">
            <v>623.34999999613501</v>
          </cell>
          <cell r="W257">
            <v>0</v>
          </cell>
          <cell r="X257">
            <v>0</v>
          </cell>
          <cell r="Y257">
            <v>9558.0333332740702</v>
          </cell>
          <cell r="Z257">
            <v>206536.63333205273</v>
          </cell>
        </row>
        <row r="258">
          <cell r="C258" t="str">
            <v>KIRKLARELİ</v>
          </cell>
          <cell r="D258" t="str">
            <v>VİZE</v>
          </cell>
          <cell r="H258" t="str">
            <v>Dağıtım-OG</v>
          </cell>
          <cell r="I258" t="str">
            <v>Uzun</v>
          </cell>
          <cell r="J258" t="str">
            <v>Şebeke işletmecisi</v>
          </cell>
          <cell r="K258" t="str">
            <v>Bildirimsiz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207.53333332599141</v>
          </cell>
          <cell r="Z258">
            <v>0</v>
          </cell>
        </row>
        <row r="259">
          <cell r="C259" t="str">
            <v>TEKİRDAĞ</v>
          </cell>
          <cell r="D259" t="str">
            <v>ERGENE</v>
          </cell>
          <cell r="H259" t="str">
            <v>Dağıtım-OG</v>
          </cell>
          <cell r="I259" t="str">
            <v>Uzun</v>
          </cell>
          <cell r="J259" t="str">
            <v>Şebeke İşletmecisi</v>
          </cell>
          <cell r="K259" t="str">
            <v>Bildirimsiz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413.90000000596046</v>
          </cell>
          <cell r="Z259">
            <v>0</v>
          </cell>
        </row>
        <row r="260">
          <cell r="C260" t="str">
            <v>EDİRNE</v>
          </cell>
          <cell r="D260" t="str">
            <v>KEŞAN</v>
          </cell>
          <cell r="H260" t="str">
            <v>Dağıtım-AG</v>
          </cell>
          <cell r="I260" t="str">
            <v>Uzun</v>
          </cell>
          <cell r="J260" t="str">
            <v>Şebeke işletmecisi</v>
          </cell>
          <cell r="K260" t="str">
            <v>Bildirimsiz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33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6790.299999959534</v>
          </cell>
        </row>
        <row r="261">
          <cell r="C261" t="str">
            <v>EDİRNE</v>
          </cell>
          <cell r="D261" t="str">
            <v>MERİÇ</v>
          </cell>
          <cell r="H261" t="str">
            <v>Dağıtım-OG</v>
          </cell>
          <cell r="I261" t="str">
            <v>Uzun</v>
          </cell>
          <cell r="J261" t="str">
            <v>Şebeke işletmecisi</v>
          </cell>
          <cell r="K261" t="str">
            <v>Bildirimli</v>
          </cell>
          <cell r="O261">
            <v>0</v>
          </cell>
          <cell r="P261">
            <v>2</v>
          </cell>
          <cell r="Q261">
            <v>3</v>
          </cell>
          <cell r="R261">
            <v>587</v>
          </cell>
          <cell r="S261">
            <v>1</v>
          </cell>
          <cell r="T261">
            <v>3</v>
          </cell>
          <cell r="U261">
            <v>0</v>
          </cell>
          <cell r="V261">
            <v>411.10000000102445</v>
          </cell>
          <cell r="W261">
            <v>616.65000000153668</v>
          </cell>
          <cell r="X261">
            <v>120657.85000030068</v>
          </cell>
          <cell r="Y261">
            <v>205.55000000051223</v>
          </cell>
          <cell r="Z261">
            <v>616.65000000153668</v>
          </cell>
        </row>
        <row r="262">
          <cell r="C262" t="str">
            <v>TEKİRDAĞ</v>
          </cell>
          <cell r="D262" t="str">
            <v>SÜLEYMANPAŞA</v>
          </cell>
          <cell r="H262" t="str">
            <v>Dağıtım-AG</v>
          </cell>
          <cell r="I262" t="str">
            <v>Uzun</v>
          </cell>
          <cell r="J262" t="str">
            <v>Şebeke işletmecisi</v>
          </cell>
          <cell r="K262" t="str">
            <v>Bildirimsiz</v>
          </cell>
          <cell r="O262">
            <v>0</v>
          </cell>
          <cell r="P262">
            <v>5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1025.7500000065193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C263" t="str">
            <v>TEKİRDAĞ</v>
          </cell>
          <cell r="D263" t="str">
            <v>MARMARAEREĞLİSİ</v>
          </cell>
          <cell r="H263" t="str">
            <v>Dağıtım-AG</v>
          </cell>
          <cell r="I263" t="str">
            <v>Uzun</v>
          </cell>
          <cell r="J263" t="str">
            <v>Şebeke işletmecisi</v>
          </cell>
          <cell r="K263" t="str">
            <v>Bildirimsiz</v>
          </cell>
          <cell r="O263">
            <v>0</v>
          </cell>
          <cell r="P263">
            <v>0</v>
          </cell>
          <cell r="Q263">
            <v>0</v>
          </cell>
          <cell r="R263">
            <v>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409.40000000176951</v>
          </cell>
          <cell r="Y263">
            <v>0</v>
          </cell>
          <cell r="Z263">
            <v>0</v>
          </cell>
        </row>
        <row r="264">
          <cell r="C264" t="str">
            <v>KIRKLARELİ</v>
          </cell>
          <cell r="D264" t="str">
            <v>PEHLİVANKÖY</v>
          </cell>
          <cell r="H264" t="str">
            <v>Dağıtım-AG</v>
          </cell>
          <cell r="I264" t="str">
            <v>Uzun</v>
          </cell>
          <cell r="J264" t="str">
            <v>Şebeke işletmecisi</v>
          </cell>
          <cell r="K264" t="str">
            <v>Bildirimsiz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7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1426.7166666942649</v>
          </cell>
        </row>
        <row r="265">
          <cell r="C265" t="str">
            <v>KIRKLARELİ</v>
          </cell>
          <cell r="D265" t="str">
            <v>KIRKLARELİMERKEZ</v>
          </cell>
          <cell r="H265" t="str">
            <v>Dağıtım-OG</v>
          </cell>
          <cell r="I265" t="str">
            <v>Uzun</v>
          </cell>
          <cell r="J265" t="str">
            <v>Şebeke işletmecisi</v>
          </cell>
          <cell r="K265" t="str">
            <v>Bildirimsiz</v>
          </cell>
          <cell r="O265">
            <v>2</v>
          </cell>
          <cell r="P265">
            <v>1</v>
          </cell>
          <cell r="Q265">
            <v>0</v>
          </cell>
          <cell r="R265">
            <v>0</v>
          </cell>
          <cell r="S265">
            <v>10</v>
          </cell>
          <cell r="T265">
            <v>0</v>
          </cell>
          <cell r="U265">
            <v>405.16666666371748</v>
          </cell>
          <cell r="V265">
            <v>202.58333333185874</v>
          </cell>
          <cell r="W265">
            <v>0</v>
          </cell>
          <cell r="X265">
            <v>0</v>
          </cell>
          <cell r="Y265">
            <v>2025.8333333185874</v>
          </cell>
          <cell r="Z265">
            <v>0</v>
          </cell>
        </row>
        <row r="266">
          <cell r="C266" t="str">
            <v>KIRKLARELİ</v>
          </cell>
          <cell r="D266" t="str">
            <v>KIRKLARELİMERKEZ</v>
          </cell>
          <cell r="H266" t="str">
            <v>Dağıtım-AG</v>
          </cell>
          <cell r="I266" t="str">
            <v>Uzun</v>
          </cell>
          <cell r="J266" t="str">
            <v>Şebeke işletmecisi</v>
          </cell>
          <cell r="K266" t="str">
            <v>Bildirimsiz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18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3642.300000123214</v>
          </cell>
        </row>
        <row r="267">
          <cell r="C267" t="str">
            <v>TEKİRDAĞ</v>
          </cell>
          <cell r="D267" t="str">
            <v>ÇERKEZKÖY</v>
          </cell>
          <cell r="H267" t="str">
            <v>Dağıtım-OG</v>
          </cell>
          <cell r="I267" t="str">
            <v>Uzun</v>
          </cell>
          <cell r="J267" t="str">
            <v>Şebeke işletmecisi</v>
          </cell>
          <cell r="K267" t="str">
            <v>Bildirimli</v>
          </cell>
          <cell r="O267">
            <v>13</v>
          </cell>
          <cell r="P267">
            <v>953</v>
          </cell>
          <cell r="Q267">
            <v>10</v>
          </cell>
          <cell r="R267">
            <v>246</v>
          </cell>
          <cell r="S267">
            <v>2</v>
          </cell>
          <cell r="T267">
            <v>321</v>
          </cell>
          <cell r="U267">
            <v>2614.9499999836553</v>
          </cell>
          <cell r="V267">
            <v>191695.94999880181</v>
          </cell>
          <cell r="W267">
            <v>2011.4999999874271</v>
          </cell>
          <cell r="X267">
            <v>49482.899999690708</v>
          </cell>
          <cell r="Y267">
            <v>402.29999999748543</v>
          </cell>
          <cell r="Z267">
            <v>64569.149999596411</v>
          </cell>
        </row>
        <row r="268">
          <cell r="C268" t="str">
            <v>EDİRNE</v>
          </cell>
          <cell r="D268" t="str">
            <v>ENEZ</v>
          </cell>
          <cell r="H268" t="str">
            <v>Dağıtım-AG</v>
          </cell>
          <cell r="I268" t="str">
            <v>Uzun</v>
          </cell>
          <cell r="J268" t="str">
            <v>Şebeke işletmecisi</v>
          </cell>
          <cell r="K268" t="str">
            <v>Bildirimsiz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47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9445.4333332297392</v>
          </cell>
        </row>
        <row r="269">
          <cell r="C269" t="str">
            <v>KIRKLARELİ</v>
          </cell>
          <cell r="D269" t="str">
            <v>VİZE</v>
          </cell>
          <cell r="H269" t="str">
            <v>Dağıtım-OG</v>
          </cell>
          <cell r="I269" t="str">
            <v>Uzun</v>
          </cell>
          <cell r="J269" t="str">
            <v>Şebeke işletmecisi</v>
          </cell>
          <cell r="K269" t="str">
            <v>Bildirimsiz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2</v>
          </cell>
          <cell r="T269">
            <v>322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397.43333334568888</v>
          </cell>
          <cell r="Z269">
            <v>63986.76666865591</v>
          </cell>
        </row>
        <row r="270">
          <cell r="C270" t="str">
            <v>KIRKLARELİ</v>
          </cell>
          <cell r="D270" t="str">
            <v>LÜLEBURGAZ</v>
          </cell>
          <cell r="H270" t="str">
            <v>Dağıtım-AG</v>
          </cell>
          <cell r="I270" t="str">
            <v>Uzun</v>
          </cell>
          <cell r="J270" t="str">
            <v>Şebeke işletmecisi</v>
          </cell>
          <cell r="K270" t="str">
            <v>Bildirimsiz</v>
          </cell>
          <cell r="O270">
            <v>0</v>
          </cell>
          <cell r="P270">
            <v>0</v>
          </cell>
          <cell r="Q270">
            <v>0</v>
          </cell>
          <cell r="R270">
            <v>42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8275.4000000143424</v>
          </cell>
          <cell r="Y270">
            <v>0</v>
          </cell>
          <cell r="Z270">
            <v>0</v>
          </cell>
        </row>
        <row r="271">
          <cell r="C271" t="str">
            <v>EDİRNE</v>
          </cell>
          <cell r="D271" t="str">
            <v>HAVSA</v>
          </cell>
          <cell r="H271" t="str">
            <v>Dağıtım-AG</v>
          </cell>
          <cell r="I271" t="str">
            <v>Uzun</v>
          </cell>
          <cell r="J271" t="str">
            <v>Şebeke İşletmecisi</v>
          </cell>
          <cell r="K271" t="str">
            <v>Bildirimsiz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41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8019.6000000229105</v>
          </cell>
        </row>
        <row r="272">
          <cell r="C272" t="str">
            <v>KIRKLARELİ</v>
          </cell>
          <cell r="D272" t="str">
            <v>VİZE</v>
          </cell>
          <cell r="H272" t="str">
            <v>Dağıtım-AG</v>
          </cell>
          <cell r="I272" t="str">
            <v>Uzun</v>
          </cell>
          <cell r="J272" t="str">
            <v>Şebeke işletmecisi</v>
          </cell>
          <cell r="K272" t="str">
            <v>Bildirimsiz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120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23377.999999467283</v>
          </cell>
        </row>
        <row r="273">
          <cell r="C273" t="str">
            <v>KIRKLARELİ</v>
          </cell>
          <cell r="D273" t="str">
            <v>BABAESKİ</v>
          </cell>
          <cell r="H273" t="str">
            <v>Dağıtım-AG</v>
          </cell>
          <cell r="I273" t="str">
            <v>Uzun</v>
          </cell>
          <cell r="J273" t="str">
            <v>Şebeke işletmecisi</v>
          </cell>
          <cell r="K273" t="str">
            <v>Bildirimsiz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30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5819.4999999948777</v>
          </cell>
        </row>
        <row r="274">
          <cell r="C274" t="str">
            <v>EDİRNE</v>
          </cell>
          <cell r="D274" t="str">
            <v>EDİRNEMERKEZ</v>
          </cell>
          <cell r="H274" t="str">
            <v>Dağıtım-AG</v>
          </cell>
          <cell r="I274" t="str">
            <v>Uzun</v>
          </cell>
          <cell r="J274" t="str">
            <v>Şebeke İşletmecisi</v>
          </cell>
          <cell r="K274" t="str">
            <v>Bildirimsiz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42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8140.9999998402782</v>
          </cell>
        </row>
        <row r="275">
          <cell r="C275" t="str">
            <v>KIRKLARELİ</v>
          </cell>
          <cell r="D275" t="str">
            <v>BABAESKİ</v>
          </cell>
          <cell r="H275" t="str">
            <v>Dağıtım-AG</v>
          </cell>
          <cell r="I275" t="str">
            <v>Uzun</v>
          </cell>
          <cell r="J275" t="str">
            <v>Şebeke işletmecisi</v>
          </cell>
          <cell r="K275" t="str">
            <v>Bildirimsiz</v>
          </cell>
          <cell r="O275">
            <v>0</v>
          </cell>
          <cell r="P275">
            <v>8</v>
          </cell>
          <cell r="Q275">
            <v>0</v>
          </cell>
          <cell r="R275">
            <v>0</v>
          </cell>
          <cell r="S275">
            <v>0</v>
          </cell>
          <cell r="T275">
            <v>117</v>
          </cell>
          <cell r="U275">
            <v>0</v>
          </cell>
          <cell r="V275">
            <v>1549.866666700691</v>
          </cell>
          <cell r="W275">
            <v>0</v>
          </cell>
          <cell r="X275">
            <v>0</v>
          </cell>
          <cell r="Y275">
            <v>0</v>
          </cell>
          <cell r="Z275">
            <v>22666.800000497606</v>
          </cell>
        </row>
        <row r="276">
          <cell r="C276" t="str">
            <v>KIRKLARELİ</v>
          </cell>
          <cell r="D276" t="str">
            <v>KOFÇAZ</v>
          </cell>
          <cell r="H276" t="str">
            <v>Dağıtım-AG</v>
          </cell>
          <cell r="I276" t="str">
            <v>Uzun</v>
          </cell>
          <cell r="J276" t="str">
            <v>Şebeke işletmecisi</v>
          </cell>
          <cell r="K276" t="str">
            <v>Bildirimsiz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9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1738.0499999667518</v>
          </cell>
        </row>
        <row r="277">
          <cell r="C277" t="str">
            <v>KIRKLARELİ</v>
          </cell>
          <cell r="D277" t="str">
            <v>BABAESKİ</v>
          </cell>
          <cell r="H277" t="str">
            <v>Dağıtım-OG</v>
          </cell>
          <cell r="I277" t="str">
            <v>Uzun</v>
          </cell>
          <cell r="J277" t="str">
            <v>Şebeke işletmecisi</v>
          </cell>
          <cell r="K277" t="str">
            <v>Bildirimli</v>
          </cell>
          <cell r="O277">
            <v>3</v>
          </cell>
          <cell r="P277">
            <v>1277</v>
          </cell>
          <cell r="Q277">
            <v>0</v>
          </cell>
          <cell r="R277">
            <v>2</v>
          </cell>
          <cell r="S277">
            <v>1</v>
          </cell>
          <cell r="T277">
            <v>0</v>
          </cell>
          <cell r="U277">
            <v>579.05000001308508</v>
          </cell>
          <cell r="V277">
            <v>246482.28333890322</v>
          </cell>
          <cell r="W277">
            <v>0</v>
          </cell>
          <cell r="X277">
            <v>386.03333334205672</v>
          </cell>
          <cell r="Y277">
            <v>193.01666667102836</v>
          </cell>
          <cell r="Z277">
            <v>0</v>
          </cell>
        </row>
        <row r="278">
          <cell r="C278" t="str">
            <v>TEKİRDAĞ</v>
          </cell>
          <cell r="D278" t="str">
            <v>KAPAKLI</v>
          </cell>
          <cell r="H278" t="str">
            <v>Dağıtım-AG</v>
          </cell>
          <cell r="I278" t="str">
            <v>Uzun</v>
          </cell>
          <cell r="J278" t="str">
            <v>Şebeke işletmecisi</v>
          </cell>
          <cell r="K278" t="str">
            <v>Bildirimsiz</v>
          </cell>
          <cell r="O278">
            <v>0</v>
          </cell>
          <cell r="P278">
            <v>11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2116.21666669962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C279" t="str">
            <v>KIRKLARELİ</v>
          </cell>
          <cell r="D279" t="str">
            <v>KIRKLARELİMERKEZ</v>
          </cell>
          <cell r="H279" t="str">
            <v>Dağıtım-AG</v>
          </cell>
          <cell r="I279" t="str">
            <v>Uzun</v>
          </cell>
          <cell r="J279" t="str">
            <v>Şebeke işletmecisi</v>
          </cell>
          <cell r="K279" t="str">
            <v>Bildirimsiz</v>
          </cell>
          <cell r="O279">
            <v>0</v>
          </cell>
          <cell r="P279">
            <v>258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49613.40000115335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C280" t="str">
            <v>EDİRNE</v>
          </cell>
          <cell r="D280" t="str">
            <v>KEŞAN</v>
          </cell>
          <cell r="H280" t="str">
            <v>Dağıtım-OG</v>
          </cell>
          <cell r="I280" t="str">
            <v>Uzun</v>
          </cell>
          <cell r="J280" t="str">
            <v>Şebeke işletmecisi</v>
          </cell>
          <cell r="K280" t="str">
            <v>Bildirimsiz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3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576.89999998197891</v>
          </cell>
        </row>
        <row r="281">
          <cell r="C281" t="str">
            <v>TEKİRDAĞ</v>
          </cell>
          <cell r="D281" t="str">
            <v>MARMARAEREĞLİSİ</v>
          </cell>
          <cell r="H281" t="str">
            <v>Dağıtım-AG</v>
          </cell>
          <cell r="I281" t="str">
            <v>Uzun</v>
          </cell>
          <cell r="J281" t="str">
            <v>Şebeke işletmecisi</v>
          </cell>
          <cell r="K281" t="str">
            <v>Bildirimsiz</v>
          </cell>
          <cell r="O281">
            <v>0</v>
          </cell>
          <cell r="P281">
            <v>226</v>
          </cell>
          <cell r="Q281">
            <v>0</v>
          </cell>
          <cell r="R281">
            <v>1</v>
          </cell>
          <cell r="S281">
            <v>0</v>
          </cell>
          <cell r="T281">
            <v>0</v>
          </cell>
          <cell r="U281">
            <v>0</v>
          </cell>
          <cell r="V281">
            <v>43331.733332821168</v>
          </cell>
          <cell r="W281">
            <v>0</v>
          </cell>
          <cell r="X281">
            <v>191.73333333106712</v>
          </cell>
          <cell r="Y281">
            <v>0</v>
          </cell>
          <cell r="Z281">
            <v>0</v>
          </cell>
        </row>
        <row r="282">
          <cell r="C282" t="str">
            <v>KIRKLARELİ</v>
          </cell>
          <cell r="D282" t="str">
            <v>KIRKLARELİMERKEZ</v>
          </cell>
          <cell r="H282" t="str">
            <v>Dağıtım-OG</v>
          </cell>
          <cell r="I282" t="str">
            <v>Uzun</v>
          </cell>
          <cell r="J282" t="str">
            <v>Şebeke işletmecisi</v>
          </cell>
          <cell r="K282" t="str">
            <v>Bildirimsiz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1</v>
          </cell>
          <cell r="T282">
            <v>241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191.31666666129604</v>
          </cell>
          <cell r="Z282">
            <v>46107.316665372346</v>
          </cell>
        </row>
        <row r="283">
          <cell r="C283" t="str">
            <v>EDİRNE</v>
          </cell>
          <cell r="D283" t="str">
            <v>EDİRNEMERKEZ</v>
          </cell>
          <cell r="H283" t="str">
            <v>Dağıtım-AG</v>
          </cell>
          <cell r="I283" t="str">
            <v>Uzun</v>
          </cell>
          <cell r="J283" t="str">
            <v>Şebeke işletmecisi</v>
          </cell>
          <cell r="K283" t="str">
            <v>Bildirimsiz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46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8798.2666663639247</v>
          </cell>
        </row>
        <row r="284">
          <cell r="C284" t="str">
            <v>KIRKLARELİ</v>
          </cell>
          <cell r="D284" t="str">
            <v>VİZE</v>
          </cell>
          <cell r="H284" t="str">
            <v>Dağıtım-AG</v>
          </cell>
          <cell r="I284" t="str">
            <v>Uzun</v>
          </cell>
          <cell r="J284" t="str">
            <v>Şebeke işletmecisi</v>
          </cell>
          <cell r="K284" t="str">
            <v>Bildirimsiz</v>
          </cell>
          <cell r="O284">
            <v>0</v>
          </cell>
          <cell r="P284">
            <v>0</v>
          </cell>
          <cell r="Q284">
            <v>0</v>
          </cell>
          <cell r="R284">
            <v>1</v>
          </cell>
          <cell r="S284">
            <v>0</v>
          </cell>
          <cell r="T284">
            <v>46</v>
          </cell>
          <cell r="U284">
            <v>0</v>
          </cell>
          <cell r="V284">
            <v>0</v>
          </cell>
          <cell r="W284">
            <v>0</v>
          </cell>
          <cell r="X284">
            <v>190.98333333386108</v>
          </cell>
          <cell r="Y284">
            <v>0</v>
          </cell>
          <cell r="Z284">
            <v>8785.2333333576098</v>
          </cell>
        </row>
        <row r="285">
          <cell r="C285" t="str">
            <v>TEKİRDAĞ</v>
          </cell>
          <cell r="D285" t="str">
            <v>ÇORLU</v>
          </cell>
          <cell r="H285" t="str">
            <v>Dağıtım-AG</v>
          </cell>
          <cell r="I285" t="str">
            <v>Uzun</v>
          </cell>
          <cell r="J285" t="str">
            <v>Şebeke işletmecisi</v>
          </cell>
          <cell r="K285" t="str">
            <v>Bildirimsiz</v>
          </cell>
          <cell r="O285">
            <v>0</v>
          </cell>
          <cell r="P285">
            <v>70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13348.999999801163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C286" t="str">
            <v>KIRKLARELİ</v>
          </cell>
          <cell r="D286" t="str">
            <v>VİZE</v>
          </cell>
          <cell r="H286" t="str">
            <v>Dağıtım-AG</v>
          </cell>
          <cell r="I286" t="str">
            <v>Uzun</v>
          </cell>
          <cell r="J286" t="str">
            <v>Şebeke işletmecisi</v>
          </cell>
          <cell r="K286" t="str">
            <v>Bildirimsiz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28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5326.0666666505858</v>
          </cell>
        </row>
        <row r="287">
          <cell r="C287" t="str">
            <v>TEKİRDAĞ</v>
          </cell>
          <cell r="D287" t="str">
            <v>ERGENE</v>
          </cell>
          <cell r="H287" t="str">
            <v>Dağıtım-OG</v>
          </cell>
          <cell r="I287" t="str">
            <v>Uzun</v>
          </cell>
          <cell r="J287" t="str">
            <v>Şebeke işletmecisi</v>
          </cell>
          <cell r="K287" t="str">
            <v>Bildirimsiz</v>
          </cell>
          <cell r="O287">
            <v>0</v>
          </cell>
          <cell r="P287">
            <v>11</v>
          </cell>
          <cell r="Q287">
            <v>0</v>
          </cell>
          <cell r="R287">
            <v>0</v>
          </cell>
          <cell r="S287">
            <v>11</v>
          </cell>
          <cell r="T287">
            <v>1079</v>
          </cell>
          <cell r="U287">
            <v>0</v>
          </cell>
          <cell r="V287">
            <v>2092.0166665746365</v>
          </cell>
          <cell r="W287">
            <v>0</v>
          </cell>
          <cell r="X287">
            <v>0</v>
          </cell>
          <cell r="Y287">
            <v>2092.0166665746365</v>
          </cell>
          <cell r="Z287">
            <v>205207.81665763934</v>
          </cell>
        </row>
        <row r="288">
          <cell r="C288" t="str">
            <v>TEKİRDAĞ</v>
          </cell>
          <cell r="D288" t="str">
            <v>SÜLEYMANPAŞA</v>
          </cell>
          <cell r="H288" t="str">
            <v>Dağıtım-AG</v>
          </cell>
          <cell r="I288" t="str">
            <v>Uzun</v>
          </cell>
          <cell r="J288" t="str">
            <v>Şebeke işletmecisi</v>
          </cell>
          <cell r="K288" t="str">
            <v>Bildirimsiz</v>
          </cell>
          <cell r="O288">
            <v>0</v>
          </cell>
          <cell r="P288">
            <v>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189.93333333986811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C289" t="str">
            <v>TEKİRDAĞ</v>
          </cell>
          <cell r="D289" t="str">
            <v>MARMARAEREĞLİSİ</v>
          </cell>
          <cell r="H289" t="str">
            <v>Dağıtım-AG</v>
          </cell>
          <cell r="I289" t="str">
            <v>Uzun</v>
          </cell>
          <cell r="J289" t="str">
            <v>Şebeke işletmecisi</v>
          </cell>
          <cell r="K289" t="str">
            <v>Bildirimsiz</v>
          </cell>
          <cell r="O289">
            <v>0</v>
          </cell>
          <cell r="P289">
            <v>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1136.700000052806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C290" t="str">
            <v>KIRKLARELİ</v>
          </cell>
          <cell r="D290" t="str">
            <v>KOFÇAZ</v>
          </cell>
          <cell r="H290" t="str">
            <v>Dağıtım-AG</v>
          </cell>
          <cell r="I290" t="str">
            <v>Uzun</v>
          </cell>
          <cell r="J290" t="str">
            <v>Şebeke işletmecisi</v>
          </cell>
          <cell r="K290" t="str">
            <v>Bildirimsiz</v>
          </cell>
          <cell r="O290">
            <v>0</v>
          </cell>
          <cell r="P290">
            <v>13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2457.2166666900739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C291" t="str">
            <v>TEKİRDAĞ</v>
          </cell>
          <cell r="D291" t="str">
            <v>ÇERKEZKÖY</v>
          </cell>
          <cell r="H291" t="str">
            <v>Dağıtım-AG</v>
          </cell>
          <cell r="I291" t="str">
            <v>Uzun</v>
          </cell>
          <cell r="J291" t="str">
            <v>Şebeke işletmecisi</v>
          </cell>
          <cell r="K291" t="str">
            <v>Bildirimsiz</v>
          </cell>
          <cell r="O291">
            <v>0</v>
          </cell>
          <cell r="P291">
            <v>294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55492.500000684522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C292" t="str">
            <v>KIRKLARELİ</v>
          </cell>
          <cell r="D292" t="str">
            <v>KOFÇAZ</v>
          </cell>
          <cell r="H292" t="str">
            <v>Dağıtım-OG</v>
          </cell>
          <cell r="I292" t="str">
            <v>Uzun</v>
          </cell>
          <cell r="J292" t="str">
            <v>Şebeke işletmecisi</v>
          </cell>
          <cell r="K292" t="str">
            <v>Bildirimsiz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12</v>
          </cell>
          <cell r="T292">
            <v>166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2257.4000000115484</v>
          </cell>
          <cell r="Z292">
            <v>31227.36666682642</v>
          </cell>
        </row>
        <row r="293">
          <cell r="C293" t="str">
            <v>KIRKLARELİ</v>
          </cell>
          <cell r="D293" t="str">
            <v>VİZE</v>
          </cell>
          <cell r="H293" t="str">
            <v>Dağıtım-OG</v>
          </cell>
          <cell r="I293" t="str">
            <v>Uzun</v>
          </cell>
          <cell r="J293" t="str">
            <v>Şebeke işletmecisi</v>
          </cell>
          <cell r="K293" t="str">
            <v>Bildirimsiz</v>
          </cell>
          <cell r="O293">
            <v>0</v>
          </cell>
          <cell r="P293">
            <v>12</v>
          </cell>
          <cell r="Q293">
            <v>0</v>
          </cell>
          <cell r="R293">
            <v>0</v>
          </cell>
          <cell r="S293">
            <v>4</v>
          </cell>
          <cell r="T293">
            <v>500</v>
          </cell>
          <cell r="U293">
            <v>0</v>
          </cell>
          <cell r="V293">
            <v>2253.6000000033528</v>
          </cell>
          <cell r="W293">
            <v>0</v>
          </cell>
          <cell r="X293">
            <v>0</v>
          </cell>
          <cell r="Y293">
            <v>751.20000000111759</v>
          </cell>
          <cell r="Z293">
            <v>93900.000000139698</v>
          </cell>
        </row>
        <row r="294">
          <cell r="C294" t="str">
            <v>TEKİRDAĞ</v>
          </cell>
          <cell r="D294" t="str">
            <v>MALKARA</v>
          </cell>
          <cell r="H294" t="str">
            <v>Dağıtım-OG</v>
          </cell>
          <cell r="I294" t="str">
            <v>Uzun</v>
          </cell>
          <cell r="J294" t="str">
            <v>Şebeke işletmecisi</v>
          </cell>
          <cell r="K294" t="str">
            <v>Bildirimli</v>
          </cell>
          <cell r="O294">
            <v>6</v>
          </cell>
          <cell r="P294">
            <v>1013</v>
          </cell>
          <cell r="Q294">
            <v>1</v>
          </cell>
          <cell r="R294">
            <v>0</v>
          </cell>
          <cell r="S294">
            <v>0</v>
          </cell>
          <cell r="T294">
            <v>1</v>
          </cell>
          <cell r="U294">
            <v>1126.8000000016764</v>
          </cell>
          <cell r="V294">
            <v>190241.40000028303</v>
          </cell>
          <cell r="W294">
            <v>187.8000000002794</v>
          </cell>
          <cell r="X294">
            <v>0</v>
          </cell>
          <cell r="Y294">
            <v>0</v>
          </cell>
          <cell r="Z294">
            <v>187.8000000002794</v>
          </cell>
        </row>
        <row r="295">
          <cell r="C295" t="str">
            <v>EDİRNE</v>
          </cell>
          <cell r="D295" t="str">
            <v>EDİRNEMERKEZ</v>
          </cell>
          <cell r="H295" t="str">
            <v>Dağıtım-OG</v>
          </cell>
          <cell r="I295" t="str">
            <v>Uzun</v>
          </cell>
          <cell r="J295" t="str">
            <v>Şebeke işletmecisi</v>
          </cell>
          <cell r="K295" t="str">
            <v>Bildirimsiz</v>
          </cell>
          <cell r="O295">
            <v>0</v>
          </cell>
          <cell r="P295">
            <v>1576</v>
          </cell>
          <cell r="Q295">
            <v>0</v>
          </cell>
          <cell r="R295">
            <v>0</v>
          </cell>
          <cell r="S295">
            <v>0</v>
          </cell>
          <cell r="T295">
            <v>3</v>
          </cell>
          <cell r="U295">
            <v>0</v>
          </cell>
          <cell r="V295">
            <v>293004.66666678898</v>
          </cell>
          <cell r="W295">
            <v>0</v>
          </cell>
          <cell r="X295">
            <v>0</v>
          </cell>
          <cell r="Y295">
            <v>0</v>
          </cell>
          <cell r="Z295">
            <v>557.75000000023283</v>
          </cell>
        </row>
        <row r="296">
          <cell r="C296" t="str">
            <v>TEKİRDAĞ</v>
          </cell>
          <cell r="D296" t="str">
            <v>MARMARAEREĞLİSİ</v>
          </cell>
          <cell r="H296" t="str">
            <v>Dağıtım-AG</v>
          </cell>
          <cell r="I296" t="str">
            <v>Uzun</v>
          </cell>
          <cell r="J296" t="str">
            <v>Şebeke işletmecisi</v>
          </cell>
          <cell r="K296" t="str">
            <v>Bildirimsiz</v>
          </cell>
          <cell r="O296">
            <v>0</v>
          </cell>
          <cell r="P296">
            <v>9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1672.6499999547377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C297" t="str">
            <v>EDİRNE</v>
          </cell>
          <cell r="D297" t="str">
            <v>KEŞAN</v>
          </cell>
          <cell r="H297" t="str">
            <v>Dağıtım-AG</v>
          </cell>
          <cell r="I297" t="str">
            <v>Uzun</v>
          </cell>
          <cell r="J297" t="str">
            <v>Şebeke işletmecisi</v>
          </cell>
          <cell r="K297" t="str">
            <v>Bildirimsiz</v>
          </cell>
          <cell r="O297">
            <v>0</v>
          </cell>
          <cell r="P297">
            <v>4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742.53333332017064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C298" t="str">
            <v>KIRKLARELİ</v>
          </cell>
          <cell r="D298" t="str">
            <v>VİZE</v>
          </cell>
          <cell r="H298" t="str">
            <v>Dağıtım-AG</v>
          </cell>
          <cell r="I298" t="str">
            <v>Uzun</v>
          </cell>
          <cell r="J298" t="str">
            <v>Şebeke işletmecisi</v>
          </cell>
          <cell r="K298" t="str">
            <v>Bildirimsiz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79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14640.016666352749</v>
          </cell>
        </row>
        <row r="299">
          <cell r="C299" t="str">
            <v>EDİRNE</v>
          </cell>
          <cell r="D299" t="str">
            <v>KEŞAN</v>
          </cell>
          <cell r="H299" t="str">
            <v>Dağıtım-AG</v>
          </cell>
          <cell r="I299" t="str">
            <v>Uzun</v>
          </cell>
          <cell r="J299" t="str">
            <v>Şebeke işletmecisi</v>
          </cell>
          <cell r="K299" t="str">
            <v>Bildirimsiz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3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555.80000001587905</v>
          </cell>
        </row>
        <row r="300">
          <cell r="C300" t="str">
            <v>TEKİRDAĞ</v>
          </cell>
          <cell r="D300" t="str">
            <v>MARMARAEREĞLİSİ</v>
          </cell>
          <cell r="H300" t="str">
            <v>Dağıtım-AG</v>
          </cell>
          <cell r="I300" t="str">
            <v>Uzun</v>
          </cell>
          <cell r="J300" t="str">
            <v>Şebeke işletmecisi</v>
          </cell>
          <cell r="K300" t="str">
            <v>Bildirimsiz</v>
          </cell>
          <cell r="O300">
            <v>0</v>
          </cell>
          <cell r="P300">
            <v>3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554.74999999045394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C301" t="str">
            <v>KIRKLARELİ</v>
          </cell>
          <cell r="D301" t="str">
            <v>KIRKLARELİMERKEZ</v>
          </cell>
          <cell r="H301" t="str">
            <v>Dağıtım-OG</v>
          </cell>
          <cell r="I301" t="str">
            <v>Uzun</v>
          </cell>
          <cell r="J301" t="str">
            <v>Dışsal</v>
          </cell>
          <cell r="K301" t="str">
            <v>Bildirimsiz</v>
          </cell>
          <cell r="O301">
            <v>1</v>
          </cell>
          <cell r="P301">
            <v>1697</v>
          </cell>
          <cell r="Q301">
            <v>0</v>
          </cell>
          <cell r="R301">
            <v>0</v>
          </cell>
          <cell r="S301">
            <v>0</v>
          </cell>
          <cell r="T301">
            <v>8</v>
          </cell>
          <cell r="U301">
            <v>184.1166666650679</v>
          </cell>
          <cell r="V301">
            <v>312445.98333062022</v>
          </cell>
          <cell r="W301">
            <v>0</v>
          </cell>
          <cell r="X301">
            <v>0</v>
          </cell>
          <cell r="Y301">
            <v>0</v>
          </cell>
          <cell r="Z301">
            <v>1472.9333333205432</v>
          </cell>
        </row>
        <row r="302">
          <cell r="C302" t="str">
            <v>TEKİRDAĞ</v>
          </cell>
          <cell r="D302" t="str">
            <v>ÇERKEZKÖY</v>
          </cell>
          <cell r="H302" t="str">
            <v>Dağıtım-AG</v>
          </cell>
          <cell r="I302" t="str">
            <v>Uzun</v>
          </cell>
          <cell r="J302" t="str">
            <v>Şebeke işletmecisi</v>
          </cell>
          <cell r="K302" t="str">
            <v>Bildirimsiz</v>
          </cell>
          <cell r="O302">
            <v>0</v>
          </cell>
          <cell r="P302">
            <v>7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1288.350000026403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C303" t="str">
            <v>TEKİRDAĞ</v>
          </cell>
          <cell r="D303" t="str">
            <v>MARMARAEREĞLİSİ</v>
          </cell>
          <cell r="H303" t="str">
            <v>Dağıtım-AG</v>
          </cell>
          <cell r="I303" t="str">
            <v>Uzun</v>
          </cell>
          <cell r="J303" t="str">
            <v>Şebeke işletmecisi</v>
          </cell>
          <cell r="K303" t="str">
            <v>Bildirimsiz</v>
          </cell>
          <cell r="O303">
            <v>0</v>
          </cell>
          <cell r="P303">
            <v>0</v>
          </cell>
          <cell r="Q303">
            <v>0</v>
          </cell>
          <cell r="R303">
            <v>11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2015.3833333065268</v>
          </cell>
          <cell r="Y303">
            <v>0</v>
          </cell>
          <cell r="Z303">
            <v>0</v>
          </cell>
        </row>
        <row r="304">
          <cell r="C304" t="str">
            <v>EDİRNE</v>
          </cell>
          <cell r="D304" t="str">
            <v>HAVSA</v>
          </cell>
          <cell r="H304" t="str">
            <v>Dağıtım-OG</v>
          </cell>
          <cell r="I304" t="str">
            <v>Uzun</v>
          </cell>
          <cell r="J304" t="str">
            <v>Şebeke işletmecisi</v>
          </cell>
          <cell r="K304" t="str">
            <v>Bildirimli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4</v>
          </cell>
          <cell r="T304">
            <v>1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732.59999996982515</v>
          </cell>
          <cell r="Z304">
            <v>183.14999999245629</v>
          </cell>
        </row>
        <row r="305">
          <cell r="C305" t="str">
            <v>EDİRNE</v>
          </cell>
          <cell r="D305" t="str">
            <v>MERİÇ</v>
          </cell>
          <cell r="H305" t="str">
            <v>Dağıtım-OG</v>
          </cell>
          <cell r="I305" t="str">
            <v>Uzun</v>
          </cell>
          <cell r="J305" t="str">
            <v>Şebeke işletmecisi</v>
          </cell>
          <cell r="K305" t="str">
            <v>Bildirimli</v>
          </cell>
          <cell r="O305">
            <v>0</v>
          </cell>
          <cell r="P305">
            <v>2</v>
          </cell>
          <cell r="Q305">
            <v>5</v>
          </cell>
          <cell r="R305">
            <v>1018</v>
          </cell>
          <cell r="S305">
            <v>1</v>
          </cell>
          <cell r="T305">
            <v>7</v>
          </cell>
          <cell r="U305">
            <v>0</v>
          </cell>
          <cell r="V305">
            <v>365.99999999860302</v>
          </cell>
          <cell r="W305">
            <v>914.99999999650754</v>
          </cell>
          <cell r="X305">
            <v>186293.99999928894</v>
          </cell>
          <cell r="Y305">
            <v>182.99999999930151</v>
          </cell>
          <cell r="Z305">
            <v>1280.9999999951106</v>
          </cell>
        </row>
        <row r="306">
          <cell r="C306" t="str">
            <v>EDİRNE</v>
          </cell>
          <cell r="D306" t="str">
            <v>ENEZ</v>
          </cell>
          <cell r="H306" t="str">
            <v>Dağıtım-AG</v>
          </cell>
          <cell r="I306" t="str">
            <v>Uzun</v>
          </cell>
          <cell r="J306" t="str">
            <v>Şebeke işletmecisi</v>
          </cell>
          <cell r="K306" t="str">
            <v>Bildirimsiz</v>
          </cell>
          <cell r="O306">
            <v>0</v>
          </cell>
          <cell r="P306">
            <v>0</v>
          </cell>
          <cell r="Q306">
            <v>0</v>
          </cell>
          <cell r="R306">
            <v>4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731.06666665524244</v>
          </cell>
          <cell r="Y306">
            <v>0</v>
          </cell>
          <cell r="Z306">
            <v>0</v>
          </cell>
        </row>
        <row r="307">
          <cell r="C307" t="str">
            <v>TEKİRDAĞ</v>
          </cell>
          <cell r="D307" t="str">
            <v>ÇORLU</v>
          </cell>
          <cell r="H307" t="str">
            <v>Dağıtım-AG</v>
          </cell>
          <cell r="I307" t="str">
            <v>Uzun</v>
          </cell>
          <cell r="J307" t="str">
            <v>Dışsal</v>
          </cell>
          <cell r="K307" t="str">
            <v>Bildirimsiz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33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6030.7499997771811</v>
          </cell>
        </row>
        <row r="308">
          <cell r="C308" t="str">
            <v>TEKİRDAĞ</v>
          </cell>
          <cell r="D308" t="str">
            <v>ÇORLU</v>
          </cell>
          <cell r="H308" t="str">
            <v>Dağıtım-OG</v>
          </cell>
          <cell r="I308" t="str">
            <v>Uzun</v>
          </cell>
          <cell r="J308" t="str">
            <v>Şebeke işletmecisi</v>
          </cell>
          <cell r="K308" t="str">
            <v>Bildirimli</v>
          </cell>
          <cell r="O308">
            <v>9</v>
          </cell>
          <cell r="P308">
            <v>5</v>
          </cell>
          <cell r="Q308">
            <v>0</v>
          </cell>
          <cell r="R308">
            <v>0</v>
          </cell>
          <cell r="S308">
            <v>1</v>
          </cell>
          <cell r="T308">
            <v>0</v>
          </cell>
          <cell r="U308">
            <v>1639.8000000079628</v>
          </cell>
          <cell r="V308">
            <v>911.00000000442378</v>
          </cell>
          <cell r="W308">
            <v>0</v>
          </cell>
          <cell r="X308">
            <v>0</v>
          </cell>
          <cell r="Y308">
            <v>182.20000000088476</v>
          </cell>
          <cell r="Z308">
            <v>0</v>
          </cell>
        </row>
        <row r="309">
          <cell r="C309" t="str">
            <v>EDİRNE</v>
          </cell>
          <cell r="D309" t="str">
            <v>ENEZ</v>
          </cell>
          <cell r="H309" t="str">
            <v>Dağıtım-AG</v>
          </cell>
          <cell r="I309" t="str">
            <v>Uzun</v>
          </cell>
          <cell r="J309" t="str">
            <v>Şebeke işletmecisi</v>
          </cell>
          <cell r="K309" t="str">
            <v>Bildirimsiz</v>
          </cell>
          <cell r="O309">
            <v>0</v>
          </cell>
          <cell r="P309">
            <v>0</v>
          </cell>
          <cell r="Q309">
            <v>0</v>
          </cell>
          <cell r="R309">
            <v>11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2002.5500000850298</v>
          </cell>
          <cell r="Y309">
            <v>0</v>
          </cell>
          <cell r="Z309">
            <v>0</v>
          </cell>
        </row>
        <row r="310">
          <cell r="C310" t="str">
            <v>EDİRNE</v>
          </cell>
          <cell r="D310" t="str">
            <v>UZUNKÖPRÜ</v>
          </cell>
          <cell r="H310" t="str">
            <v>Dağıtım-AG</v>
          </cell>
          <cell r="I310" t="str">
            <v>Uzun</v>
          </cell>
          <cell r="J310" t="str">
            <v>Şebeke işletmecisi</v>
          </cell>
          <cell r="K310" t="str">
            <v>Bildirimsiz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41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7453.1166665756609</v>
          </cell>
        </row>
        <row r="311">
          <cell r="C311" t="str">
            <v>EDİRNE</v>
          </cell>
          <cell r="D311" t="str">
            <v>ENEZ</v>
          </cell>
          <cell r="H311" t="str">
            <v>Dağıtım-AG</v>
          </cell>
          <cell r="I311" t="str">
            <v>Uzun</v>
          </cell>
          <cell r="J311" t="str">
            <v>Şebeke işletmecisi</v>
          </cell>
          <cell r="K311" t="str">
            <v>Bildirimsiz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16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2906.6666666977108</v>
          </cell>
        </row>
        <row r="312">
          <cell r="C312" t="str">
            <v>EDİRNE</v>
          </cell>
          <cell r="D312" t="str">
            <v>EDİRNEMERKEZ</v>
          </cell>
          <cell r="H312" t="str">
            <v>Dağıtım-OG</v>
          </cell>
          <cell r="I312" t="str">
            <v>Uzun</v>
          </cell>
          <cell r="J312" t="str">
            <v>Şebeke işletmecisi</v>
          </cell>
          <cell r="K312" t="str">
            <v>Bildirimsiz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112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20292.533332630992</v>
          </cell>
        </row>
        <row r="313">
          <cell r="C313" t="str">
            <v>KIRKLARELİ</v>
          </cell>
          <cell r="D313" t="str">
            <v>DEMİRKÖY</v>
          </cell>
          <cell r="H313" t="str">
            <v>Dağıtım-AG</v>
          </cell>
          <cell r="I313" t="str">
            <v>Uzun</v>
          </cell>
          <cell r="J313" t="str">
            <v>Şebeke işletmecisi</v>
          </cell>
          <cell r="K313" t="str">
            <v>Bildirimsiz</v>
          </cell>
          <cell r="O313">
            <v>0</v>
          </cell>
          <cell r="P313">
            <v>0</v>
          </cell>
          <cell r="Q313">
            <v>0</v>
          </cell>
          <cell r="R313">
            <v>19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3440.583333367249</v>
          </cell>
          <cell r="Y313">
            <v>0</v>
          </cell>
          <cell r="Z313">
            <v>0</v>
          </cell>
        </row>
        <row r="314">
          <cell r="C314" t="str">
            <v>EDİRNE</v>
          </cell>
          <cell r="D314" t="str">
            <v>LALAPAŞA</v>
          </cell>
          <cell r="H314" t="str">
            <v>Dağıtım-AG</v>
          </cell>
          <cell r="I314" t="str">
            <v>Uzun</v>
          </cell>
          <cell r="J314" t="str">
            <v>Şebeke işletmecisi</v>
          </cell>
          <cell r="K314" t="str">
            <v>Bildirimli</v>
          </cell>
          <cell r="O314">
            <v>0</v>
          </cell>
          <cell r="P314">
            <v>0</v>
          </cell>
          <cell r="Q314">
            <v>0</v>
          </cell>
          <cell r="R314">
            <v>14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2534.9333333037794</v>
          </cell>
          <cell r="Y314">
            <v>0</v>
          </cell>
          <cell r="Z314">
            <v>0</v>
          </cell>
        </row>
        <row r="315">
          <cell r="C315" t="str">
            <v>KIRKLARELİ</v>
          </cell>
          <cell r="D315" t="str">
            <v>LÜLEBURGAZ</v>
          </cell>
          <cell r="H315" t="str">
            <v>Dağıtım-AG</v>
          </cell>
          <cell r="I315" t="str">
            <v>Uzun</v>
          </cell>
          <cell r="J315" t="str">
            <v>Şebeke işletmecisi</v>
          </cell>
          <cell r="K315" t="str">
            <v>Bildirimsiz</v>
          </cell>
          <cell r="O315">
            <v>0</v>
          </cell>
          <cell r="P315">
            <v>17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3077.8500000759959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C316" t="str">
            <v>TEKİRDAĞ</v>
          </cell>
          <cell r="D316" t="str">
            <v>ÇORLU</v>
          </cell>
          <cell r="H316" t="str">
            <v>Dağıtım-AG</v>
          </cell>
          <cell r="I316" t="str">
            <v>Uzun</v>
          </cell>
          <cell r="J316" t="str">
            <v>Şebeke işletmecisi</v>
          </cell>
          <cell r="K316" t="str">
            <v>Bildirimsiz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7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1265.7166666095145</v>
          </cell>
        </row>
        <row r="317">
          <cell r="C317" t="str">
            <v>KIRKLARELİ</v>
          </cell>
          <cell r="D317" t="str">
            <v>VİZE</v>
          </cell>
          <cell r="H317" t="str">
            <v>Dağıtım-AG</v>
          </cell>
          <cell r="I317" t="str">
            <v>Uzun</v>
          </cell>
          <cell r="J317" t="str">
            <v>Şebeke işletmecisi</v>
          </cell>
          <cell r="K317" t="str">
            <v>Bildirimsiz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2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360.96666666213423</v>
          </cell>
        </row>
        <row r="318">
          <cell r="C318" t="str">
            <v>TEKİRDAĞ</v>
          </cell>
          <cell r="D318" t="str">
            <v>SARAY</v>
          </cell>
          <cell r="H318" t="str">
            <v>Dağıtım-OG</v>
          </cell>
          <cell r="I318" t="str">
            <v>Uzun</v>
          </cell>
          <cell r="J318" t="str">
            <v>Şebeke işletmecisi</v>
          </cell>
          <cell r="K318" t="str">
            <v>Bildirimli</v>
          </cell>
          <cell r="O318">
            <v>0</v>
          </cell>
          <cell r="P318">
            <v>12</v>
          </cell>
          <cell r="Q318">
            <v>1</v>
          </cell>
          <cell r="R318">
            <v>2396</v>
          </cell>
          <cell r="S318">
            <v>0</v>
          </cell>
          <cell r="T318">
            <v>0</v>
          </cell>
          <cell r="U318">
            <v>0</v>
          </cell>
          <cell r="V318">
            <v>2160.3999999677762</v>
          </cell>
          <cell r="W318">
            <v>180.03333333064802</v>
          </cell>
          <cell r="X318">
            <v>431359.86666023266</v>
          </cell>
          <cell r="Y318">
            <v>0</v>
          </cell>
          <cell r="Z318">
            <v>0</v>
          </cell>
        </row>
        <row r="319">
          <cell r="C319" t="str">
            <v>KIRKLARELİ</v>
          </cell>
          <cell r="D319" t="str">
            <v>DEMİRKÖY</v>
          </cell>
          <cell r="H319" t="str">
            <v>Dağıtım-OG</v>
          </cell>
          <cell r="I319" t="str">
            <v>Uzun</v>
          </cell>
          <cell r="J319" t="str">
            <v>Şebeke işletmecisi</v>
          </cell>
          <cell r="K319" t="str">
            <v>Bildirimli</v>
          </cell>
          <cell r="O319">
            <v>0</v>
          </cell>
          <cell r="P319">
            <v>0</v>
          </cell>
          <cell r="Q319">
            <v>0</v>
          </cell>
          <cell r="R319">
            <v>3</v>
          </cell>
          <cell r="S319">
            <v>5</v>
          </cell>
          <cell r="T319">
            <v>231</v>
          </cell>
          <cell r="U319">
            <v>0</v>
          </cell>
          <cell r="V319">
            <v>0</v>
          </cell>
          <cell r="W319">
            <v>0</v>
          </cell>
          <cell r="X319">
            <v>540</v>
          </cell>
          <cell r="Y319">
            <v>900</v>
          </cell>
          <cell r="Z319">
            <v>41580</v>
          </cell>
        </row>
        <row r="320">
          <cell r="C320" t="str">
            <v>TEKİRDAĞ</v>
          </cell>
          <cell r="D320" t="str">
            <v>ÇERKEZKÖY</v>
          </cell>
          <cell r="H320" t="str">
            <v>Dağıtım-AG</v>
          </cell>
          <cell r="I320" t="str">
            <v>Uzun</v>
          </cell>
          <cell r="J320" t="str">
            <v>Şebeke işletmecisi</v>
          </cell>
          <cell r="K320" t="str">
            <v>Bildirimli</v>
          </cell>
          <cell r="O320">
            <v>0</v>
          </cell>
          <cell r="P320">
            <v>131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23575.633333685109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C321" t="str">
            <v>TEKİRDAĞ</v>
          </cell>
          <cell r="D321" t="str">
            <v>MALKARA</v>
          </cell>
          <cell r="H321" t="str">
            <v>Dağıtım-OG</v>
          </cell>
          <cell r="I321" t="str">
            <v>Uzun</v>
          </cell>
          <cell r="J321" t="str">
            <v>Şebeke işletmecisi</v>
          </cell>
          <cell r="K321" t="str">
            <v>Bildirimli</v>
          </cell>
          <cell r="O321">
            <v>0</v>
          </cell>
          <cell r="P321">
            <v>10</v>
          </cell>
          <cell r="Q321">
            <v>0</v>
          </cell>
          <cell r="R321">
            <v>0</v>
          </cell>
          <cell r="S321">
            <v>0</v>
          </cell>
          <cell r="T321">
            <v>648</v>
          </cell>
          <cell r="U321">
            <v>0</v>
          </cell>
          <cell r="V321">
            <v>1799.666666588746</v>
          </cell>
          <cell r="W321">
            <v>0</v>
          </cell>
          <cell r="X321">
            <v>0</v>
          </cell>
          <cell r="Y321">
            <v>0</v>
          </cell>
          <cell r="Z321">
            <v>116618.39999495074</v>
          </cell>
        </row>
        <row r="322">
          <cell r="C322" t="str">
            <v>TEKİRDAĞ</v>
          </cell>
          <cell r="D322" t="str">
            <v>ÇORLU</v>
          </cell>
          <cell r="H322" t="str">
            <v>Dağıtım-OG</v>
          </cell>
          <cell r="I322" t="str">
            <v>Uzun</v>
          </cell>
          <cell r="J322" t="str">
            <v>Şebeke işletmecisi</v>
          </cell>
          <cell r="K322" t="str">
            <v>Bildirimli</v>
          </cell>
          <cell r="O322">
            <v>0</v>
          </cell>
          <cell r="P322">
            <v>2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359.89999999757856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C323" t="str">
            <v>EDİRNE</v>
          </cell>
          <cell r="D323" t="str">
            <v>KEŞAN</v>
          </cell>
          <cell r="H323" t="str">
            <v>Dağıtım-OG</v>
          </cell>
          <cell r="I323" t="str">
            <v>Uzun</v>
          </cell>
          <cell r="J323" t="str">
            <v>Şebeke işletmecisi</v>
          </cell>
          <cell r="K323" t="str">
            <v>Bildirimli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20</v>
          </cell>
          <cell r="T323">
            <v>354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3598.6666665645316</v>
          </cell>
          <cell r="Z323">
            <v>63696.39999819221</v>
          </cell>
        </row>
        <row r="324">
          <cell r="C324" t="str">
            <v>EDİRNE</v>
          </cell>
          <cell r="D324" t="str">
            <v>EDİRNEMERKEZ</v>
          </cell>
          <cell r="H324" t="str">
            <v>Dağıtım-OG</v>
          </cell>
          <cell r="I324" t="str">
            <v>Uzun</v>
          </cell>
          <cell r="J324" t="str">
            <v>Şebeke işletmecisi</v>
          </cell>
          <cell r="K324" t="str">
            <v>Bildirimli</v>
          </cell>
          <cell r="O324">
            <v>0</v>
          </cell>
          <cell r="P324">
            <v>2751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494813.20000072592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C325" t="str">
            <v>TEKİRDAĞ</v>
          </cell>
          <cell r="D325" t="str">
            <v>MURATLI</v>
          </cell>
          <cell r="H325" t="str">
            <v>Dağıtım-OG</v>
          </cell>
          <cell r="I325" t="str">
            <v>Uzun</v>
          </cell>
          <cell r="J325" t="str">
            <v>Şebeke işletmecisi</v>
          </cell>
          <cell r="K325" t="str">
            <v>Bildirimli</v>
          </cell>
          <cell r="O325">
            <v>1</v>
          </cell>
          <cell r="P325">
            <v>2640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179.86666666693054</v>
          </cell>
          <cell r="V325">
            <v>474848.00000069663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C326" t="str">
            <v>TEKİRDAĞ</v>
          </cell>
          <cell r="D326" t="str">
            <v>ÇORLU</v>
          </cell>
          <cell r="H326" t="str">
            <v>Dağıtım-AG</v>
          </cell>
          <cell r="I326" t="str">
            <v>Uzun</v>
          </cell>
          <cell r="J326" t="str">
            <v>Şebeke işletmecisi</v>
          </cell>
          <cell r="K326" t="str">
            <v>Bildirimli</v>
          </cell>
          <cell r="O326">
            <v>0</v>
          </cell>
          <cell r="P326">
            <v>1005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180749.25000687945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C327" t="str">
            <v>TEKİRDAĞ</v>
          </cell>
          <cell r="D327" t="str">
            <v>MARMARAEREĞLİSİ</v>
          </cell>
          <cell r="H327" t="str">
            <v>Dağıtım-OG</v>
          </cell>
          <cell r="I327" t="str">
            <v>Uzun</v>
          </cell>
          <cell r="J327" t="str">
            <v>Şebeke işletmecisi</v>
          </cell>
          <cell r="K327" t="str">
            <v>Bildirimli</v>
          </cell>
          <cell r="O327">
            <v>8</v>
          </cell>
          <cell r="P327">
            <v>4681</v>
          </cell>
          <cell r="Q327">
            <v>0</v>
          </cell>
          <cell r="R327">
            <v>9</v>
          </cell>
          <cell r="S327">
            <v>0</v>
          </cell>
          <cell r="T327">
            <v>1</v>
          </cell>
          <cell r="U327">
            <v>1438.1333333160728</v>
          </cell>
          <cell r="V327">
            <v>841487.76665656711</v>
          </cell>
          <cell r="W327">
            <v>0</v>
          </cell>
          <cell r="X327">
            <v>1617.8999999805819</v>
          </cell>
          <cell r="Y327">
            <v>0</v>
          </cell>
          <cell r="Z327">
            <v>179.7666666645091</v>
          </cell>
        </row>
        <row r="328">
          <cell r="C328" t="str">
            <v>KIRKLARELİ</v>
          </cell>
          <cell r="D328" t="str">
            <v>LÜLEBURGAZ</v>
          </cell>
          <cell r="H328" t="str">
            <v>Dağıtım-OG</v>
          </cell>
          <cell r="I328" t="str">
            <v>Uzun</v>
          </cell>
          <cell r="J328" t="str">
            <v>Şebeke işletmecisi</v>
          </cell>
          <cell r="K328" t="str">
            <v>Bildirimli</v>
          </cell>
          <cell r="O328">
            <v>1</v>
          </cell>
          <cell r="P328">
            <v>0</v>
          </cell>
          <cell r="Q328">
            <v>0</v>
          </cell>
          <cell r="R328">
            <v>0</v>
          </cell>
          <cell r="S328">
            <v>9</v>
          </cell>
          <cell r="T328">
            <v>669</v>
          </cell>
          <cell r="U328">
            <v>179.73333333386108</v>
          </cell>
          <cell r="V328">
            <v>0</v>
          </cell>
          <cell r="W328">
            <v>0</v>
          </cell>
          <cell r="X328">
            <v>0</v>
          </cell>
          <cell r="Y328">
            <v>1617.6000000047497</v>
          </cell>
          <cell r="Z328">
            <v>120241.60000035306</v>
          </cell>
        </row>
        <row r="329">
          <cell r="C329" t="str">
            <v>KIRKLARELİ</v>
          </cell>
          <cell r="D329" t="str">
            <v>VİZE</v>
          </cell>
          <cell r="H329" t="str">
            <v>Dağıtım-AG</v>
          </cell>
          <cell r="I329" t="str">
            <v>Uzun</v>
          </cell>
          <cell r="J329" t="str">
            <v>Şebeke işletmecisi</v>
          </cell>
          <cell r="K329" t="str">
            <v>Bildirimsiz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1795.666666701436</v>
          </cell>
        </row>
        <row r="330">
          <cell r="C330" t="str">
            <v>KIRKLARELİ</v>
          </cell>
          <cell r="D330" t="str">
            <v>DEMİRKÖY</v>
          </cell>
          <cell r="H330" t="str">
            <v>Dağıtım-AG</v>
          </cell>
          <cell r="I330" t="str">
            <v>Uzun</v>
          </cell>
          <cell r="J330" t="str">
            <v>Şebeke işletmecisi</v>
          </cell>
          <cell r="K330" t="str">
            <v>Bildirimsiz</v>
          </cell>
          <cell r="O330">
            <v>0</v>
          </cell>
          <cell r="P330">
            <v>0</v>
          </cell>
          <cell r="Q330">
            <v>0</v>
          </cell>
          <cell r="R330">
            <v>14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2510.1999999093823</v>
          </cell>
          <cell r="Y330">
            <v>0</v>
          </cell>
          <cell r="Z330">
            <v>0</v>
          </cell>
        </row>
        <row r="331">
          <cell r="C331" t="str">
            <v>TEKİRDAĞ</v>
          </cell>
          <cell r="D331" t="str">
            <v>SÜLEYMANPAŞA</v>
          </cell>
          <cell r="H331" t="str">
            <v>Dağıtım-OG</v>
          </cell>
          <cell r="I331" t="str">
            <v>Uzun</v>
          </cell>
          <cell r="J331" t="str">
            <v>Şebeke işletmecisi</v>
          </cell>
          <cell r="K331" t="str">
            <v>Bildirimli</v>
          </cell>
          <cell r="O331">
            <v>11</v>
          </cell>
          <cell r="P331">
            <v>277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1967.1666666632518</v>
          </cell>
          <cell r="V331">
            <v>49536.833333247341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C332" t="str">
            <v>EDİRNE</v>
          </cell>
          <cell r="D332" t="str">
            <v>HAVSA</v>
          </cell>
          <cell r="H332" t="str">
            <v>Dağıtım-OG</v>
          </cell>
          <cell r="I332" t="str">
            <v>Uzun</v>
          </cell>
          <cell r="J332" t="str">
            <v>Şebeke işletmecisi</v>
          </cell>
          <cell r="K332" t="str">
            <v>Bildirimsiz</v>
          </cell>
          <cell r="O332">
            <v>0</v>
          </cell>
          <cell r="P332">
            <v>0</v>
          </cell>
          <cell r="Q332">
            <v>2</v>
          </cell>
          <cell r="R332">
            <v>0</v>
          </cell>
          <cell r="S332">
            <v>1</v>
          </cell>
          <cell r="T332">
            <v>0</v>
          </cell>
          <cell r="U332">
            <v>0</v>
          </cell>
          <cell r="V332">
            <v>0</v>
          </cell>
          <cell r="W332">
            <v>354.6999999973923</v>
          </cell>
          <cell r="X332">
            <v>0</v>
          </cell>
          <cell r="Y332">
            <v>177.34999999869615</v>
          </cell>
          <cell r="Z332">
            <v>0</v>
          </cell>
        </row>
        <row r="333">
          <cell r="C333" t="str">
            <v>KIRKLARELİ</v>
          </cell>
          <cell r="D333" t="str">
            <v>BABAESKİ</v>
          </cell>
          <cell r="H333" t="str">
            <v>Dağıtım-AG</v>
          </cell>
          <cell r="I333" t="str">
            <v>Uzun</v>
          </cell>
          <cell r="J333" t="str">
            <v>Şebeke işletmecisi</v>
          </cell>
          <cell r="K333" t="str">
            <v>Bildirimsiz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6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1062.9999999864958</v>
          </cell>
        </row>
        <row r="334">
          <cell r="C334" t="str">
            <v>TEKİRDAĞ</v>
          </cell>
          <cell r="D334" t="str">
            <v>ÇERKEZKÖY</v>
          </cell>
          <cell r="H334" t="str">
            <v>Dağıtım-OG</v>
          </cell>
          <cell r="I334" t="str">
            <v>Uzun</v>
          </cell>
          <cell r="J334" t="str">
            <v>Şebeke işletmecisi</v>
          </cell>
          <cell r="K334" t="str">
            <v>Bildirimli</v>
          </cell>
          <cell r="O334">
            <v>2</v>
          </cell>
          <cell r="P334">
            <v>3997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353.26666666427627</v>
          </cell>
          <cell r="V334">
            <v>706003.43332855613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C335" t="str">
            <v>EDİRNE</v>
          </cell>
          <cell r="D335" t="str">
            <v>MERİÇ</v>
          </cell>
          <cell r="H335" t="str">
            <v>Dağıtım-AG</v>
          </cell>
          <cell r="I335" t="str">
            <v>Uzun</v>
          </cell>
          <cell r="J335" t="str">
            <v>Şebeke işletmecisi</v>
          </cell>
          <cell r="K335" t="str">
            <v>Bildirimsiz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78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13674.699999599252</v>
          </cell>
        </row>
        <row r="336">
          <cell r="C336" t="str">
            <v>EDİRNE</v>
          </cell>
          <cell r="D336" t="str">
            <v>HAVSA</v>
          </cell>
          <cell r="H336" t="str">
            <v>Dağıtım-OG</v>
          </cell>
          <cell r="I336" t="str">
            <v>Uzun</v>
          </cell>
          <cell r="J336" t="str">
            <v>Şebeke işletmecisi</v>
          </cell>
          <cell r="K336" t="str">
            <v>Bildirimsiz</v>
          </cell>
          <cell r="O336">
            <v>0</v>
          </cell>
          <cell r="P336">
            <v>0</v>
          </cell>
          <cell r="Q336">
            <v>4</v>
          </cell>
          <cell r="R336">
            <v>0</v>
          </cell>
          <cell r="S336">
            <v>2</v>
          </cell>
          <cell r="T336">
            <v>0</v>
          </cell>
          <cell r="U336">
            <v>0</v>
          </cell>
          <cell r="V336">
            <v>0</v>
          </cell>
          <cell r="W336">
            <v>698.20000001695007</v>
          </cell>
          <cell r="X336">
            <v>0</v>
          </cell>
          <cell r="Y336">
            <v>349.10000000847504</v>
          </cell>
          <cell r="Z336">
            <v>0</v>
          </cell>
        </row>
        <row r="337">
          <cell r="C337" t="str">
            <v>TEKİRDAĞ</v>
          </cell>
          <cell r="D337" t="str">
            <v>MARMARAEREĞLİSİ</v>
          </cell>
          <cell r="H337" t="str">
            <v>Dağıtım-AG</v>
          </cell>
          <cell r="I337" t="str">
            <v>Uzun</v>
          </cell>
          <cell r="J337" t="str">
            <v>Şebeke işletmecisi</v>
          </cell>
          <cell r="K337" t="str">
            <v>Bildirimsiz</v>
          </cell>
          <cell r="O337">
            <v>0</v>
          </cell>
          <cell r="P337">
            <v>47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8202.2833336587064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C338" t="str">
            <v>EDİRNE</v>
          </cell>
          <cell r="D338" t="str">
            <v>HAVSA</v>
          </cell>
          <cell r="H338" t="str">
            <v>Dağıtım-OG</v>
          </cell>
          <cell r="I338" t="str">
            <v>Uzun</v>
          </cell>
          <cell r="J338" t="str">
            <v>Şebeke işletmecisi</v>
          </cell>
          <cell r="K338" t="str">
            <v>Bildirimli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348.69999999878928</v>
          </cell>
          <cell r="Z338">
            <v>0</v>
          </cell>
        </row>
        <row r="339">
          <cell r="C339" t="str">
            <v>TEKİRDAĞ</v>
          </cell>
          <cell r="D339" t="str">
            <v>ŞARKÖY</v>
          </cell>
          <cell r="H339" t="str">
            <v>Dağıtım-AG</v>
          </cell>
          <cell r="I339" t="str">
            <v>Uzun</v>
          </cell>
          <cell r="J339" t="str">
            <v>Şebeke işletmecisi</v>
          </cell>
          <cell r="K339" t="str">
            <v>Bildirimsiz</v>
          </cell>
          <cell r="O339">
            <v>0</v>
          </cell>
          <cell r="P339">
            <v>1</v>
          </cell>
          <cell r="Q339">
            <v>0</v>
          </cell>
          <cell r="R339">
            <v>0</v>
          </cell>
          <cell r="S339">
            <v>0</v>
          </cell>
          <cell r="T339">
            <v>2</v>
          </cell>
          <cell r="U339">
            <v>0</v>
          </cell>
          <cell r="V339">
            <v>174.21666666632518</v>
          </cell>
          <cell r="W339">
            <v>0</v>
          </cell>
          <cell r="X339">
            <v>0</v>
          </cell>
          <cell r="Y339">
            <v>0</v>
          </cell>
          <cell r="Z339">
            <v>348.43333333265036</v>
          </cell>
        </row>
        <row r="340">
          <cell r="C340" t="str">
            <v>KIRKLARELİ</v>
          </cell>
          <cell r="D340" t="str">
            <v>LÜLEBURGAZ</v>
          </cell>
          <cell r="H340" t="str">
            <v>Dağıtım-AG</v>
          </cell>
          <cell r="I340" t="str">
            <v>Uzun</v>
          </cell>
          <cell r="J340" t="str">
            <v>Şebeke işletmecisi</v>
          </cell>
          <cell r="K340" t="str">
            <v>Bildirimsiz</v>
          </cell>
          <cell r="O340">
            <v>0</v>
          </cell>
          <cell r="P340">
            <v>13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2263.3000000496395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C341" t="str">
            <v>EDİRNE</v>
          </cell>
          <cell r="D341" t="str">
            <v>İPSALA</v>
          </cell>
          <cell r="H341" t="str">
            <v>Dağıtım-AG</v>
          </cell>
          <cell r="I341" t="str">
            <v>Uzun</v>
          </cell>
          <cell r="J341" t="str">
            <v>Şebeke işletmecisi</v>
          </cell>
          <cell r="K341" t="str">
            <v>Bildirimsiz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14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2436.2333332607523</v>
          </cell>
        </row>
        <row r="342">
          <cell r="C342" t="str">
            <v>TEKİRDAĞ</v>
          </cell>
          <cell r="D342" t="str">
            <v>ÇORLU</v>
          </cell>
          <cell r="H342" t="str">
            <v>Dağıtım-AG</v>
          </cell>
          <cell r="I342" t="str">
            <v>Uzun</v>
          </cell>
          <cell r="J342" t="str">
            <v>Şebeke işletmecisi</v>
          </cell>
          <cell r="K342" t="str">
            <v>Bildirimsiz</v>
          </cell>
          <cell r="O342">
            <v>0</v>
          </cell>
          <cell r="P342">
            <v>36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6262.7999997697771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C343" t="str">
            <v>TEKİRDAĞ</v>
          </cell>
          <cell r="D343" t="str">
            <v>ERGENE</v>
          </cell>
          <cell r="H343" t="str">
            <v>Dağıtım-AG</v>
          </cell>
          <cell r="I343" t="str">
            <v>Uzun</v>
          </cell>
          <cell r="J343" t="str">
            <v>Şebeke işletmecisi</v>
          </cell>
          <cell r="K343" t="str">
            <v>Bildirimsiz</v>
          </cell>
          <cell r="O343">
            <v>0</v>
          </cell>
          <cell r="P343">
            <v>165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28638.500000804197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C344" t="str">
            <v>EDİRNE</v>
          </cell>
          <cell r="D344" t="str">
            <v>KEŞAN</v>
          </cell>
          <cell r="H344" t="str">
            <v>Dağıtım-AG</v>
          </cell>
          <cell r="I344" t="str">
            <v>Uzun</v>
          </cell>
          <cell r="J344" t="str">
            <v>Şebeke işletmecisi</v>
          </cell>
          <cell r="K344" t="str">
            <v>Bildirimsiz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20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3470.6666666083038</v>
          </cell>
        </row>
        <row r="345">
          <cell r="C345" t="str">
            <v>EDİRNE</v>
          </cell>
          <cell r="D345" t="str">
            <v>KEŞAN</v>
          </cell>
          <cell r="H345" t="str">
            <v>Dağıtım-AG</v>
          </cell>
          <cell r="I345" t="str">
            <v>Uzun</v>
          </cell>
          <cell r="J345" t="str">
            <v>Şebeke işletmecisi</v>
          </cell>
          <cell r="K345" t="str">
            <v>Bildirimsiz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2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345.86666665272787</v>
          </cell>
        </row>
        <row r="346">
          <cell r="C346" t="str">
            <v>TEKİRDAĞ</v>
          </cell>
          <cell r="D346" t="str">
            <v>ÇORLU</v>
          </cell>
          <cell r="H346" t="str">
            <v>Dağıtım-OG</v>
          </cell>
          <cell r="I346" t="str">
            <v>Uzun</v>
          </cell>
          <cell r="J346" t="str">
            <v>Şebeke işletmecisi</v>
          </cell>
          <cell r="K346" t="str">
            <v>Bildirimsiz</v>
          </cell>
          <cell r="O346">
            <v>29</v>
          </cell>
          <cell r="P346">
            <v>15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5002.983333345037</v>
          </cell>
          <cell r="V346">
            <v>2587.7500000060536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C347" t="str">
            <v>TEKİRDAĞ</v>
          </cell>
          <cell r="D347" t="str">
            <v>ÇERKEZKÖY</v>
          </cell>
          <cell r="H347" t="str">
            <v>Dağıtım-AG</v>
          </cell>
          <cell r="I347" t="str">
            <v>Uzun</v>
          </cell>
          <cell r="J347" t="str">
            <v>Şebeke işletmecisi</v>
          </cell>
          <cell r="K347" t="str">
            <v>Bildirimli</v>
          </cell>
          <cell r="O347">
            <v>0</v>
          </cell>
          <cell r="P347">
            <v>126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21730.800001218449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C348" t="str">
            <v>KIRKLARELİ</v>
          </cell>
          <cell r="D348" t="str">
            <v>VİZE</v>
          </cell>
          <cell r="H348" t="str">
            <v>Dağıtım-OG</v>
          </cell>
          <cell r="I348" t="str">
            <v>Uzun</v>
          </cell>
          <cell r="J348" t="str">
            <v>Şebeke işletmecisi</v>
          </cell>
          <cell r="K348" t="str">
            <v>Bildirimsiz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>
            <v>275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171.64999999688007</v>
          </cell>
          <cell r="Z348">
            <v>47203.749999142019</v>
          </cell>
        </row>
        <row r="349">
          <cell r="C349" t="str">
            <v>TEKİRDAĞ</v>
          </cell>
          <cell r="D349" t="str">
            <v>KAPAKLI</v>
          </cell>
          <cell r="H349" t="str">
            <v>Dağıtım-AG</v>
          </cell>
          <cell r="I349" t="str">
            <v>Uzun</v>
          </cell>
          <cell r="J349" t="str">
            <v>Şebeke işletmecisi</v>
          </cell>
          <cell r="K349" t="str">
            <v>Bildirimsiz</v>
          </cell>
          <cell r="O349">
            <v>0</v>
          </cell>
          <cell r="P349">
            <v>109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18706.216666619293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C350" t="str">
            <v>TEKİRDAĞ</v>
          </cell>
          <cell r="D350" t="str">
            <v>MARMARAEREĞLİSİ</v>
          </cell>
          <cell r="H350" t="str">
            <v>Dağıtım-AG</v>
          </cell>
          <cell r="I350" t="str">
            <v>Uzun</v>
          </cell>
          <cell r="J350" t="str">
            <v>Şebeke işletmecisi</v>
          </cell>
          <cell r="K350" t="str">
            <v>Bildirimsiz</v>
          </cell>
          <cell r="O350">
            <v>0</v>
          </cell>
          <cell r="P350">
            <v>0</v>
          </cell>
          <cell r="Q350">
            <v>0</v>
          </cell>
          <cell r="R350">
            <v>49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8401.050000123214</v>
          </cell>
          <cell r="Y350">
            <v>0</v>
          </cell>
          <cell r="Z350">
            <v>0</v>
          </cell>
        </row>
        <row r="351">
          <cell r="C351" t="str">
            <v>TEKİRDAĞ</v>
          </cell>
          <cell r="D351" t="str">
            <v>SÜLEYMANPAŞA</v>
          </cell>
          <cell r="H351" t="str">
            <v>Dağıtım-AG</v>
          </cell>
          <cell r="I351" t="str">
            <v>Uzun</v>
          </cell>
          <cell r="J351" t="str">
            <v>Dışsal</v>
          </cell>
          <cell r="K351" t="str">
            <v>Bildirimsiz</v>
          </cell>
          <cell r="O351">
            <v>0</v>
          </cell>
          <cell r="P351">
            <v>8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1370.8000000007451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C352" t="str">
            <v>KIRKLARELİ</v>
          </cell>
          <cell r="D352" t="str">
            <v>VİZE</v>
          </cell>
          <cell r="H352" t="str">
            <v>Dağıtım-OG</v>
          </cell>
          <cell r="I352" t="str">
            <v>Uzun</v>
          </cell>
          <cell r="J352" t="str">
            <v>Şebeke işletmecisi</v>
          </cell>
          <cell r="K352" t="str">
            <v>Bildirimsiz</v>
          </cell>
          <cell r="O352">
            <v>0</v>
          </cell>
          <cell r="P352">
            <v>0</v>
          </cell>
          <cell r="Q352">
            <v>0</v>
          </cell>
          <cell r="R352">
            <v>90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15418.50000025006</v>
          </cell>
          <cell r="Y352">
            <v>0</v>
          </cell>
          <cell r="Z352">
            <v>0</v>
          </cell>
        </row>
        <row r="353">
          <cell r="C353" t="str">
            <v>TEKİRDAĞ</v>
          </cell>
          <cell r="D353" t="str">
            <v>SÜLEYMANPAŞA</v>
          </cell>
          <cell r="H353" t="str">
            <v>Dağıtım-AG</v>
          </cell>
          <cell r="I353" t="str">
            <v>Uzun</v>
          </cell>
          <cell r="J353" t="str">
            <v>Şebeke işletmecisi</v>
          </cell>
          <cell r="K353" t="str">
            <v>Bildirimsiz</v>
          </cell>
          <cell r="O353">
            <v>0</v>
          </cell>
          <cell r="P353">
            <v>7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1197.3499999498017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C354" t="str">
            <v>KIRKLARELİ</v>
          </cell>
          <cell r="D354" t="str">
            <v>KIRKLARELİMERKEZ</v>
          </cell>
          <cell r="H354" t="str">
            <v>Dağıtım-OG</v>
          </cell>
          <cell r="I354" t="str">
            <v>Uzun</v>
          </cell>
          <cell r="J354" t="str">
            <v>Şebeke işletmecisi</v>
          </cell>
          <cell r="K354" t="str">
            <v>Bildirimsiz</v>
          </cell>
          <cell r="O354">
            <v>0</v>
          </cell>
          <cell r="P354">
            <v>0</v>
          </cell>
          <cell r="Q354">
            <v>2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342.00000000419095</v>
          </cell>
          <cell r="X354">
            <v>0</v>
          </cell>
          <cell r="Y354">
            <v>0</v>
          </cell>
          <cell r="Z354">
            <v>0</v>
          </cell>
        </row>
        <row r="355">
          <cell r="C355" t="str">
            <v>TEKİRDAĞ</v>
          </cell>
          <cell r="D355" t="str">
            <v>KAPAKLI</v>
          </cell>
          <cell r="H355" t="str">
            <v>Dağıtım-OG</v>
          </cell>
          <cell r="I355" t="str">
            <v>Uzun</v>
          </cell>
          <cell r="J355" t="str">
            <v>Şebeke işletmecisi</v>
          </cell>
          <cell r="K355" t="str">
            <v>Bildirimli</v>
          </cell>
          <cell r="O355">
            <v>7</v>
          </cell>
          <cell r="P355">
            <v>1907</v>
          </cell>
          <cell r="Q355">
            <v>0</v>
          </cell>
          <cell r="R355">
            <v>0</v>
          </cell>
          <cell r="S355">
            <v>0</v>
          </cell>
          <cell r="T355">
            <v>2</v>
          </cell>
          <cell r="U355">
            <v>1195.5999999807682</v>
          </cell>
          <cell r="V355">
            <v>325715.59999476071</v>
          </cell>
          <cell r="W355">
            <v>0</v>
          </cell>
          <cell r="X355">
            <v>0</v>
          </cell>
          <cell r="Y355">
            <v>0</v>
          </cell>
          <cell r="Z355">
            <v>341.5999999945052</v>
          </cell>
        </row>
        <row r="356">
          <cell r="C356" t="str">
            <v>TEKİRDAĞ</v>
          </cell>
          <cell r="D356" t="str">
            <v>MARMARAEREĞLİSİ</v>
          </cell>
          <cell r="H356" t="str">
            <v>Dağıtım-AG</v>
          </cell>
          <cell r="I356" t="str">
            <v>Uzun</v>
          </cell>
          <cell r="J356" t="str">
            <v>Şebeke işletmecisi</v>
          </cell>
          <cell r="K356" t="str">
            <v>Bildirimsiz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169.99999999883585</v>
          </cell>
          <cell r="Y356">
            <v>0</v>
          </cell>
          <cell r="Z356">
            <v>0</v>
          </cell>
        </row>
        <row r="357">
          <cell r="C357" t="str">
            <v>TEKİRDAĞ</v>
          </cell>
          <cell r="D357" t="str">
            <v>SÜLEYMANPAŞA</v>
          </cell>
          <cell r="H357" t="str">
            <v>Dağıtım-AG</v>
          </cell>
          <cell r="I357" t="str">
            <v>Uzun</v>
          </cell>
          <cell r="J357" t="str">
            <v>Şebeke işletmecisi</v>
          </cell>
          <cell r="K357" t="str">
            <v>Bildirimsiz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169.85000000568107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C358" t="str">
            <v>TEKİRDAĞ</v>
          </cell>
          <cell r="D358" t="str">
            <v>ÇORLU</v>
          </cell>
          <cell r="H358" t="str">
            <v>Dağıtım-OG</v>
          </cell>
          <cell r="I358" t="str">
            <v>Uzun</v>
          </cell>
          <cell r="J358" t="str">
            <v>Şebeke işletmecisi</v>
          </cell>
          <cell r="K358" t="str">
            <v>Bildirimsiz</v>
          </cell>
          <cell r="O358">
            <v>7</v>
          </cell>
          <cell r="P358">
            <v>12168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1188.3666666434146</v>
          </cell>
          <cell r="V358">
            <v>2065720.7999595813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C359" t="str">
            <v>TEKİRDAĞ</v>
          </cell>
          <cell r="D359" t="str">
            <v>KAPAKLI</v>
          </cell>
          <cell r="H359" t="str">
            <v>Dağıtım-AG</v>
          </cell>
          <cell r="I359" t="str">
            <v>Uzun</v>
          </cell>
          <cell r="J359" t="str">
            <v>Şebeke işletmecisi</v>
          </cell>
          <cell r="K359" t="str">
            <v>Bildirimsiz</v>
          </cell>
          <cell r="O359">
            <v>0</v>
          </cell>
          <cell r="P359">
            <v>12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2033.8000000454485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C360" t="str">
            <v>TEKİRDAĞ</v>
          </cell>
          <cell r="D360" t="str">
            <v>ÇERKEZKÖY</v>
          </cell>
          <cell r="H360" t="str">
            <v>Dağıtım-AG</v>
          </cell>
          <cell r="I360" t="str">
            <v>Uzun</v>
          </cell>
          <cell r="J360" t="str">
            <v>Şebeke işletmecisi</v>
          </cell>
          <cell r="K360" t="str">
            <v>Bildirimsiz</v>
          </cell>
          <cell r="O360">
            <v>0</v>
          </cell>
          <cell r="P360">
            <v>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169.38333333469927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C361" t="str">
            <v>TEKİRDAĞ</v>
          </cell>
          <cell r="D361" t="str">
            <v>MARMARAEREĞLİSİ</v>
          </cell>
          <cell r="H361" t="str">
            <v>Dağıtım-AG</v>
          </cell>
          <cell r="I361" t="str">
            <v>Uzun</v>
          </cell>
          <cell r="J361" t="str">
            <v>Şebeke işletmecisi</v>
          </cell>
          <cell r="K361" t="str">
            <v>Bildirimsiz</v>
          </cell>
          <cell r="O361">
            <v>0</v>
          </cell>
          <cell r="P361">
            <v>76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12838.933333405294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C362" t="str">
            <v>TEKİRDAĞ</v>
          </cell>
          <cell r="D362" t="str">
            <v>MARMARAEREĞLİSİ</v>
          </cell>
          <cell r="H362" t="str">
            <v>Dağıtım-AG</v>
          </cell>
          <cell r="I362" t="str">
            <v>Uzun</v>
          </cell>
          <cell r="J362" t="str">
            <v>Şebeke işletmecisi</v>
          </cell>
          <cell r="K362" t="str">
            <v>Bildirimsiz</v>
          </cell>
          <cell r="O362">
            <v>0</v>
          </cell>
          <cell r="P362">
            <v>351</v>
          </cell>
          <cell r="Q362">
            <v>0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59084.999998910353</v>
          </cell>
          <cell r="W362">
            <v>0</v>
          </cell>
          <cell r="X362">
            <v>336.66666666045785</v>
          </cell>
          <cell r="Y362">
            <v>0</v>
          </cell>
          <cell r="Z362">
            <v>0</v>
          </cell>
        </row>
        <row r="363">
          <cell r="C363" t="str">
            <v>TEKİRDAĞ</v>
          </cell>
          <cell r="D363" t="str">
            <v>SÜLEYMANPAŞA</v>
          </cell>
          <cell r="H363" t="str">
            <v>Dağıtım-AG</v>
          </cell>
          <cell r="I363" t="str">
            <v>Uzun</v>
          </cell>
          <cell r="J363" t="str">
            <v>Dışsal</v>
          </cell>
          <cell r="K363" t="str">
            <v>Bildirimsiz</v>
          </cell>
          <cell r="O363">
            <v>0</v>
          </cell>
          <cell r="P363">
            <v>9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1510.3500000166241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C364" t="str">
            <v>KIRKLARELİ</v>
          </cell>
          <cell r="D364" t="str">
            <v>KIRKLARELİMERKEZ</v>
          </cell>
          <cell r="H364" t="str">
            <v>Dağıtım-OG</v>
          </cell>
          <cell r="I364" t="str">
            <v>Uzun</v>
          </cell>
          <cell r="J364" t="str">
            <v>Şebeke işletmecisi</v>
          </cell>
          <cell r="K364" t="str">
            <v>Bildirimsiz</v>
          </cell>
          <cell r="O364">
            <v>1</v>
          </cell>
          <cell r="P364">
            <v>0</v>
          </cell>
          <cell r="Q364">
            <v>6</v>
          </cell>
          <cell r="R364">
            <v>226</v>
          </cell>
          <cell r="S364">
            <v>32</v>
          </cell>
          <cell r="T364">
            <v>1638</v>
          </cell>
          <cell r="U364">
            <v>167.70000000600703</v>
          </cell>
          <cell r="V364">
            <v>0</v>
          </cell>
          <cell r="W364">
            <v>1006.2000000360422</v>
          </cell>
          <cell r="X364">
            <v>37900.200001357589</v>
          </cell>
          <cell r="Y364">
            <v>5366.400000192225</v>
          </cell>
          <cell r="Z364">
            <v>274692.60000983952</v>
          </cell>
        </row>
        <row r="365">
          <cell r="C365" t="str">
            <v>KIRKLARELİ</v>
          </cell>
          <cell r="D365" t="str">
            <v>LÜLEBURGAZ</v>
          </cell>
          <cell r="H365" t="str">
            <v>Dağıtım-AG</v>
          </cell>
          <cell r="I365" t="str">
            <v>Uzun</v>
          </cell>
          <cell r="J365" t="str">
            <v>Şebeke işletmecisi</v>
          </cell>
          <cell r="K365" t="str">
            <v>Bildirimsiz</v>
          </cell>
          <cell r="O365">
            <v>0</v>
          </cell>
          <cell r="P365">
            <v>13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2172.2999998892192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C366" t="str">
            <v>TEKİRDAĞ</v>
          </cell>
          <cell r="D366" t="str">
            <v>ÇORLU</v>
          </cell>
          <cell r="H366" t="str">
            <v>Dağıtım-AG</v>
          </cell>
          <cell r="I366" t="str">
            <v>Uzun</v>
          </cell>
          <cell r="J366" t="str">
            <v>Şebeke işletmecisi</v>
          </cell>
          <cell r="K366" t="str">
            <v>Bildirimsiz</v>
          </cell>
          <cell r="O366">
            <v>0</v>
          </cell>
          <cell r="P366">
            <v>149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24887.966666197171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C367" t="str">
            <v>EDİRNE</v>
          </cell>
          <cell r="D367" t="str">
            <v>EDİRNEMERKEZ</v>
          </cell>
          <cell r="H367" t="str">
            <v>Dağıtım-AG</v>
          </cell>
          <cell r="I367" t="str">
            <v>Uzun</v>
          </cell>
          <cell r="J367" t="str">
            <v>Şebeke İşletmecisi</v>
          </cell>
          <cell r="K367" t="str">
            <v>Bildirimsiz</v>
          </cell>
          <cell r="O367">
            <v>0</v>
          </cell>
          <cell r="P367">
            <v>12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2000.1999999862164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C368" t="str">
            <v>KIRKLARELİ</v>
          </cell>
          <cell r="D368" t="str">
            <v>KIRKLARELİMERKEZ</v>
          </cell>
          <cell r="H368" t="str">
            <v>Dağıtım-AG</v>
          </cell>
          <cell r="I368" t="str">
            <v>Uzun</v>
          </cell>
          <cell r="J368" t="str">
            <v>Şebeke işletmecisi</v>
          </cell>
          <cell r="K368" t="str">
            <v>Bildirimsiz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47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7813.7499996169936</v>
          </cell>
        </row>
        <row r="369">
          <cell r="C369" t="str">
            <v>EDİRNE</v>
          </cell>
          <cell r="D369" t="str">
            <v>KEŞAN</v>
          </cell>
          <cell r="H369" t="str">
            <v>Dağıtım-OG</v>
          </cell>
          <cell r="I369" t="str">
            <v>Uzun</v>
          </cell>
          <cell r="J369" t="str">
            <v>Şebeke işletmecisi</v>
          </cell>
          <cell r="K369" t="str">
            <v>Bildirimsiz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332.16666667722166</v>
          </cell>
          <cell r="Z369">
            <v>0</v>
          </cell>
        </row>
        <row r="370">
          <cell r="C370" t="str">
            <v>TEKİRDAĞ</v>
          </cell>
          <cell r="D370" t="str">
            <v>ERGENE</v>
          </cell>
          <cell r="H370" t="str">
            <v>Dağıtım-OG</v>
          </cell>
          <cell r="I370" t="str">
            <v>Uzun</v>
          </cell>
          <cell r="J370" t="str">
            <v>Şebeke işletmecisi</v>
          </cell>
          <cell r="K370" t="str">
            <v>Bildirimsiz</v>
          </cell>
          <cell r="O370">
            <v>8</v>
          </cell>
          <cell r="P370">
            <v>1241</v>
          </cell>
          <cell r="Q370">
            <v>0</v>
          </cell>
          <cell r="R370">
            <v>0</v>
          </cell>
          <cell r="S370">
            <v>0</v>
          </cell>
          <cell r="T370">
            <v>5</v>
          </cell>
          <cell r="U370">
            <v>1328.0000000540167</v>
          </cell>
          <cell r="V370">
            <v>206006.00000837934</v>
          </cell>
          <cell r="W370">
            <v>0</v>
          </cell>
          <cell r="X370">
            <v>0</v>
          </cell>
          <cell r="Y370">
            <v>0</v>
          </cell>
          <cell r="Z370">
            <v>830.00000003376044</v>
          </cell>
        </row>
        <row r="371">
          <cell r="C371" t="str">
            <v>EDİRNE</v>
          </cell>
          <cell r="D371" t="str">
            <v>EDİRNEMERKEZ</v>
          </cell>
          <cell r="H371" t="str">
            <v>Dağıtım-OG</v>
          </cell>
          <cell r="I371" t="str">
            <v>Uzun</v>
          </cell>
          <cell r="J371" t="str">
            <v>Şebeke işletmecisi</v>
          </cell>
          <cell r="K371" t="str">
            <v>Bildirimsiz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132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21911.999999508262</v>
          </cell>
        </row>
        <row r="372">
          <cell r="C372" t="str">
            <v>KIRKLARELİ</v>
          </cell>
          <cell r="D372" t="str">
            <v>BABAESKİ</v>
          </cell>
          <cell r="H372" t="str">
            <v>Dağıtım-AG</v>
          </cell>
          <cell r="I372" t="str">
            <v>Uzun</v>
          </cell>
          <cell r="J372" t="str">
            <v>Şebeke işletmecisi</v>
          </cell>
          <cell r="K372" t="str">
            <v>Bildirimsiz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11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1817.1999999764375</v>
          </cell>
        </row>
        <row r="373">
          <cell r="C373" t="str">
            <v>TEKİRDAĞ</v>
          </cell>
          <cell r="D373" t="str">
            <v>KAPAKLI</v>
          </cell>
          <cell r="H373" t="str">
            <v>Dağıtım-AG</v>
          </cell>
          <cell r="I373" t="str">
            <v>Uzun</v>
          </cell>
          <cell r="J373" t="str">
            <v>Şebeke işletmecisi</v>
          </cell>
          <cell r="K373" t="str">
            <v>Bildirimsiz</v>
          </cell>
          <cell r="O373">
            <v>0</v>
          </cell>
          <cell r="P373">
            <v>16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2637.3333332687616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C374" t="str">
            <v>EDİRNE</v>
          </cell>
          <cell r="D374" t="str">
            <v>KEŞAN</v>
          </cell>
          <cell r="H374" t="str">
            <v>Dağıtım-AG</v>
          </cell>
          <cell r="I374" t="str">
            <v>Uzun</v>
          </cell>
          <cell r="J374" t="str">
            <v>Şebeke işletmecisi</v>
          </cell>
          <cell r="K374" t="str">
            <v>Bildirimsiz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5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823.75000003958121</v>
          </cell>
        </row>
        <row r="375">
          <cell r="C375" t="str">
            <v>TEKİRDAĞ</v>
          </cell>
          <cell r="D375" t="str">
            <v>ERGENE</v>
          </cell>
          <cell r="H375" t="str">
            <v>Dağıtım-AG</v>
          </cell>
          <cell r="I375" t="str">
            <v>Uzun</v>
          </cell>
          <cell r="J375" t="str">
            <v>Şebeke işletmecisi</v>
          </cell>
          <cell r="K375" t="str">
            <v>Bildirimsiz</v>
          </cell>
          <cell r="O375">
            <v>0</v>
          </cell>
          <cell r="P375">
            <v>6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986.30000003613532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C376" t="str">
            <v>EDİRNE</v>
          </cell>
          <cell r="D376" t="str">
            <v>EDİRNEMERKEZ</v>
          </cell>
          <cell r="H376" t="str">
            <v>Dağıtım-OG</v>
          </cell>
          <cell r="I376" t="str">
            <v>Uzun</v>
          </cell>
          <cell r="J376" t="str">
            <v>Şebeke işletmecisi</v>
          </cell>
          <cell r="K376" t="str">
            <v>Bildirimsiz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132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21648.000000030734</v>
          </cell>
        </row>
        <row r="377">
          <cell r="C377" t="str">
            <v>TEKİRDAĞ</v>
          </cell>
          <cell r="D377" t="str">
            <v>ERGENE</v>
          </cell>
          <cell r="H377" t="str">
            <v>Dağıtım-AG</v>
          </cell>
          <cell r="I377" t="str">
            <v>Uzun</v>
          </cell>
          <cell r="J377" t="str">
            <v>Şebeke işletmecisi</v>
          </cell>
          <cell r="K377" t="str">
            <v>Bildirimsiz</v>
          </cell>
          <cell r="O377">
            <v>0</v>
          </cell>
          <cell r="P377">
            <v>101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16550.533333383501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C378" t="str">
            <v>TEKİRDAĞ</v>
          </cell>
          <cell r="D378" t="str">
            <v>ERGENE</v>
          </cell>
          <cell r="H378" t="str">
            <v>Dağıtım-AG</v>
          </cell>
          <cell r="I378" t="str">
            <v>Uzun</v>
          </cell>
          <cell r="J378" t="str">
            <v>Şebeke işletmecisi</v>
          </cell>
          <cell r="K378" t="str">
            <v>Bildirimsiz</v>
          </cell>
          <cell r="O378">
            <v>0</v>
          </cell>
          <cell r="P378">
            <v>70</v>
          </cell>
          <cell r="Q378">
            <v>0</v>
          </cell>
          <cell r="R378">
            <v>0</v>
          </cell>
          <cell r="S378">
            <v>0</v>
          </cell>
          <cell r="T378">
            <v>1</v>
          </cell>
          <cell r="U378">
            <v>0</v>
          </cell>
          <cell r="V378">
            <v>11463.666666531935</v>
          </cell>
          <cell r="W378">
            <v>0</v>
          </cell>
          <cell r="X378">
            <v>0</v>
          </cell>
          <cell r="Y378">
            <v>0</v>
          </cell>
          <cell r="Z378">
            <v>163.76666666474193</v>
          </cell>
        </row>
        <row r="379">
          <cell r="C379" t="str">
            <v>TEKİRDAĞ</v>
          </cell>
          <cell r="D379" t="str">
            <v>ERGENE</v>
          </cell>
          <cell r="H379" t="str">
            <v>Dağıtım-AG</v>
          </cell>
          <cell r="I379" t="str">
            <v>Uzun</v>
          </cell>
          <cell r="J379" t="str">
            <v>Şebeke işletmecisi</v>
          </cell>
          <cell r="K379" t="str">
            <v>Bildirimsiz</v>
          </cell>
          <cell r="O379">
            <v>0</v>
          </cell>
          <cell r="P379">
            <v>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651.39999997336417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C380" t="str">
            <v>EDİRNE</v>
          </cell>
          <cell r="D380" t="str">
            <v>ENEZ</v>
          </cell>
          <cell r="H380" t="str">
            <v>Dağıtım-OG</v>
          </cell>
          <cell r="I380" t="str">
            <v>Uzun</v>
          </cell>
          <cell r="J380" t="str">
            <v>Şebeke işletmecisi</v>
          </cell>
          <cell r="K380" t="str">
            <v>Bildirimsiz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213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34669.300001127413</v>
          </cell>
        </row>
        <row r="381">
          <cell r="C381" t="str">
            <v>TEKİRDAĞ</v>
          </cell>
          <cell r="D381" t="str">
            <v>SÜLEYMANPAŞA</v>
          </cell>
          <cell r="H381" t="str">
            <v>Dağıtım-AG</v>
          </cell>
          <cell r="I381" t="str">
            <v>Uzun</v>
          </cell>
          <cell r="J381" t="str">
            <v>Şebeke işletmecisi</v>
          </cell>
          <cell r="K381" t="str">
            <v>Bildirimsiz</v>
          </cell>
          <cell r="O381">
            <v>0</v>
          </cell>
          <cell r="P381">
            <v>75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12148.750000022119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C382" t="str">
            <v>EDİRNE</v>
          </cell>
          <cell r="D382" t="str">
            <v>EDİRNEMERKEZ</v>
          </cell>
          <cell r="H382" t="str">
            <v>Dağıtım-AG</v>
          </cell>
          <cell r="I382" t="str">
            <v>Uzun</v>
          </cell>
          <cell r="J382" t="str">
            <v>Şebeke işletmecisi</v>
          </cell>
          <cell r="K382" t="str">
            <v>Bildirimsiz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111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17959.799999927636</v>
          </cell>
        </row>
        <row r="383">
          <cell r="C383" t="str">
            <v>EDİRNE</v>
          </cell>
          <cell r="D383" t="str">
            <v>KEŞAN</v>
          </cell>
          <cell r="H383" t="str">
            <v>Dağıtım-AG</v>
          </cell>
          <cell r="I383" t="str">
            <v>Uzun</v>
          </cell>
          <cell r="J383" t="str">
            <v>Şebeke işletmecisi</v>
          </cell>
          <cell r="K383" t="str">
            <v>Bildirimsiz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3234.6666667610407</v>
          </cell>
        </row>
        <row r="384">
          <cell r="C384" t="str">
            <v>EDİRNE</v>
          </cell>
          <cell r="D384" t="str">
            <v>EDİRNEMERKEZ</v>
          </cell>
          <cell r="H384" t="str">
            <v>Dağıtım-AG</v>
          </cell>
          <cell r="I384" t="str">
            <v>Uzun</v>
          </cell>
          <cell r="J384" t="str">
            <v>Şebeke işletmecisi</v>
          </cell>
          <cell r="K384" t="str">
            <v>Bildirimsiz</v>
          </cell>
          <cell r="O384">
            <v>0</v>
          </cell>
          <cell r="P384">
            <v>36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5818.1999999424443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C385" t="str">
            <v>EDİRNE</v>
          </cell>
          <cell r="D385" t="str">
            <v>EDİRNEMERKEZ</v>
          </cell>
          <cell r="H385" t="str">
            <v>Dağıtım-OG</v>
          </cell>
          <cell r="I385" t="str">
            <v>Uzun</v>
          </cell>
          <cell r="J385" t="str">
            <v>Şebeke İşletmecisi</v>
          </cell>
          <cell r="K385" t="str">
            <v>Bildirimsiz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2</v>
          </cell>
          <cell r="T385">
            <v>1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323.03333332529292</v>
          </cell>
          <cell r="Z385">
            <v>161.51666666264646</v>
          </cell>
        </row>
        <row r="386">
          <cell r="C386" t="str">
            <v>TEKİRDAĞ</v>
          </cell>
          <cell r="D386" t="str">
            <v>HAYRABOLU</v>
          </cell>
          <cell r="H386" t="str">
            <v>Dağıtım-OG</v>
          </cell>
          <cell r="I386" t="str">
            <v>Uzun</v>
          </cell>
          <cell r="J386" t="str">
            <v>Şebeke işletmecisi</v>
          </cell>
          <cell r="K386" t="str">
            <v>Bildirimli</v>
          </cell>
          <cell r="O386">
            <v>0</v>
          </cell>
          <cell r="P386">
            <v>0</v>
          </cell>
          <cell r="Q386">
            <v>2</v>
          </cell>
          <cell r="R386">
            <v>1</v>
          </cell>
          <cell r="S386">
            <v>9</v>
          </cell>
          <cell r="T386">
            <v>680</v>
          </cell>
          <cell r="U386">
            <v>0</v>
          </cell>
          <cell r="V386">
            <v>0</v>
          </cell>
          <cell r="W386">
            <v>322.39999999059364</v>
          </cell>
          <cell r="X386">
            <v>161.19999999529682</v>
          </cell>
          <cell r="Y386">
            <v>1450.7999999576714</v>
          </cell>
          <cell r="Z386">
            <v>109615.99999680184</v>
          </cell>
        </row>
        <row r="387">
          <cell r="C387" t="str">
            <v>KIRKLARELİ</v>
          </cell>
          <cell r="D387" t="str">
            <v>VİZE</v>
          </cell>
          <cell r="H387" t="str">
            <v>Dağıtım-AG</v>
          </cell>
          <cell r="I387" t="str">
            <v>Uzun</v>
          </cell>
          <cell r="J387" t="str">
            <v>Şebeke işletmecisi</v>
          </cell>
          <cell r="K387" t="str">
            <v>Bildirimsiz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120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19323.999999789521</v>
          </cell>
        </row>
        <row r="388">
          <cell r="C388" t="str">
            <v>KIRKLARELİ</v>
          </cell>
          <cell r="D388" t="str">
            <v>DEMİRKÖY</v>
          </cell>
          <cell r="H388" t="str">
            <v>Dağıtım-OG</v>
          </cell>
          <cell r="I388" t="str">
            <v>Uzun</v>
          </cell>
          <cell r="J388" t="str">
            <v>Şebeke işletmecisi</v>
          </cell>
          <cell r="K388" t="str">
            <v>Bildirimsiz</v>
          </cell>
          <cell r="O388">
            <v>0</v>
          </cell>
          <cell r="P388">
            <v>0</v>
          </cell>
          <cell r="Q388">
            <v>3</v>
          </cell>
          <cell r="R388">
            <v>166</v>
          </cell>
          <cell r="S388">
            <v>8</v>
          </cell>
          <cell r="T388">
            <v>236</v>
          </cell>
          <cell r="U388">
            <v>0</v>
          </cell>
          <cell r="V388">
            <v>0</v>
          </cell>
          <cell r="W388">
            <v>483.00000000279397</v>
          </cell>
          <cell r="X388">
            <v>26726.0000001546</v>
          </cell>
          <cell r="Y388">
            <v>1288.0000000074506</v>
          </cell>
          <cell r="Z388">
            <v>37996.000000219792</v>
          </cell>
        </row>
        <row r="389">
          <cell r="C389" t="str">
            <v>TEKİRDAĞ</v>
          </cell>
          <cell r="D389" t="str">
            <v>ÇORLU</v>
          </cell>
          <cell r="H389" t="str">
            <v>Dağıtım-AG</v>
          </cell>
          <cell r="I389" t="str">
            <v>Uzun</v>
          </cell>
          <cell r="J389" t="str">
            <v>Şebeke işletmecisi</v>
          </cell>
          <cell r="K389" t="str">
            <v>Bildirimsiz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1127.0000000065193</v>
          </cell>
        </row>
        <row r="390">
          <cell r="C390" t="str">
            <v>TEKİRDAĞ</v>
          </cell>
          <cell r="D390" t="str">
            <v>MARMARAEREĞLİSİ</v>
          </cell>
          <cell r="H390" t="str">
            <v>Dağıtım-AG</v>
          </cell>
          <cell r="I390" t="str">
            <v>Uzun</v>
          </cell>
          <cell r="J390" t="str">
            <v>Şebeke işletmecisi</v>
          </cell>
          <cell r="K390" t="str">
            <v>Bildirimsiz</v>
          </cell>
          <cell r="O390">
            <v>0</v>
          </cell>
          <cell r="P390">
            <v>1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160.86666666786186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C391" t="str">
            <v>TEKİRDAĞ</v>
          </cell>
          <cell r="D391" t="str">
            <v>ÇORLU</v>
          </cell>
          <cell r="H391" t="str">
            <v>Dağıtım-AG</v>
          </cell>
          <cell r="I391" t="str">
            <v>Uzun</v>
          </cell>
          <cell r="J391" t="str">
            <v>Şebeke işletmecisi</v>
          </cell>
          <cell r="K391" t="str">
            <v>Bildirimsiz</v>
          </cell>
          <cell r="O391">
            <v>0</v>
          </cell>
          <cell r="P391">
            <v>37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5942.8166664869059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C392" t="str">
            <v>EDİRNE</v>
          </cell>
          <cell r="D392" t="str">
            <v>HAVSA</v>
          </cell>
          <cell r="H392" t="str">
            <v>Dağıtım-OG</v>
          </cell>
          <cell r="I392" t="str">
            <v>Uzun</v>
          </cell>
          <cell r="J392" t="str">
            <v>Şebeke işletmecisi</v>
          </cell>
          <cell r="K392" t="str">
            <v>Bildirimsiz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</v>
          </cell>
          <cell r="T392">
            <v>1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160.51666665938683</v>
          </cell>
          <cell r="Z392">
            <v>160.51666665938683</v>
          </cell>
        </row>
        <row r="393">
          <cell r="C393" t="str">
            <v>TEKİRDAĞ</v>
          </cell>
          <cell r="D393" t="str">
            <v>MARMARAEREĞLİSİ</v>
          </cell>
          <cell r="H393" t="str">
            <v>Dağıtım-AG</v>
          </cell>
          <cell r="I393" t="str">
            <v>Uzun</v>
          </cell>
          <cell r="J393" t="str">
            <v>Şebeke işletmecisi</v>
          </cell>
          <cell r="K393" t="str">
            <v>Bildirimsiz</v>
          </cell>
          <cell r="O393">
            <v>0</v>
          </cell>
          <cell r="P393">
            <v>111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17815.499999922467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C394" t="str">
            <v>TEKİRDAĞ</v>
          </cell>
          <cell r="D394" t="str">
            <v>ÇERKEZKÖY</v>
          </cell>
          <cell r="H394" t="str">
            <v>Dağıtım-OG</v>
          </cell>
          <cell r="I394" t="str">
            <v>Uzun</v>
          </cell>
          <cell r="J394" t="str">
            <v>Dışsal</v>
          </cell>
          <cell r="K394" t="str">
            <v>Bildirimsiz</v>
          </cell>
          <cell r="O394">
            <v>25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4005.0000000628643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C395" t="str">
            <v>EDİRNE</v>
          </cell>
          <cell r="D395" t="str">
            <v>KEŞAN</v>
          </cell>
          <cell r="H395" t="str">
            <v>Dağıtım-OG</v>
          </cell>
          <cell r="I395" t="str">
            <v>Uzun</v>
          </cell>
          <cell r="J395" t="str">
            <v>Şebeke işletmecisi</v>
          </cell>
          <cell r="K395" t="str">
            <v>Bildirimli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215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34425.083331938367</v>
          </cell>
        </row>
        <row r="396">
          <cell r="C396" t="str">
            <v>KIRKLARELİ</v>
          </cell>
          <cell r="D396" t="str">
            <v>PEHLİVANKÖY</v>
          </cell>
          <cell r="H396" t="str">
            <v>Dağıtım-OG</v>
          </cell>
          <cell r="I396" t="str">
            <v>Uzun</v>
          </cell>
          <cell r="J396" t="str">
            <v>Şebeke işletmecisi</v>
          </cell>
          <cell r="K396" t="str">
            <v>Bildirimsiz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235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37521.666667505633</v>
          </cell>
        </row>
        <row r="397">
          <cell r="C397" t="str">
            <v>TEKİRDAĞ</v>
          </cell>
          <cell r="D397" t="str">
            <v>MARMARAEREĞLİSİ</v>
          </cell>
          <cell r="H397" t="str">
            <v>Dağıtım-AG</v>
          </cell>
          <cell r="I397" t="str">
            <v>Uzun</v>
          </cell>
          <cell r="J397" t="str">
            <v>Şebeke işletmecisi</v>
          </cell>
          <cell r="K397" t="str">
            <v>Bildirimsiz</v>
          </cell>
          <cell r="O397">
            <v>0</v>
          </cell>
          <cell r="P397">
            <v>28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4470.199999990873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C398" t="str">
            <v>KIRKLARELİ</v>
          </cell>
          <cell r="D398" t="str">
            <v>DEMİRKÖY</v>
          </cell>
          <cell r="H398" t="str">
            <v>Dağıtım-AG</v>
          </cell>
          <cell r="I398" t="str">
            <v>Uzun</v>
          </cell>
          <cell r="J398" t="str">
            <v>Şebeke işletmecisi</v>
          </cell>
          <cell r="K398" t="str">
            <v>Bildirimsiz</v>
          </cell>
          <cell r="O398">
            <v>0</v>
          </cell>
          <cell r="P398">
            <v>0</v>
          </cell>
          <cell r="Q398">
            <v>0</v>
          </cell>
          <cell r="R398">
            <v>1</v>
          </cell>
          <cell r="S398">
            <v>0</v>
          </cell>
          <cell r="T398">
            <v>1</v>
          </cell>
          <cell r="U398">
            <v>0</v>
          </cell>
          <cell r="V398">
            <v>0</v>
          </cell>
          <cell r="W398">
            <v>0</v>
          </cell>
          <cell r="X398">
            <v>159.583333338378</v>
          </cell>
          <cell r="Y398">
            <v>0</v>
          </cell>
          <cell r="Z398">
            <v>159.583333338378</v>
          </cell>
        </row>
        <row r="399">
          <cell r="C399" t="str">
            <v>TEKİRDAĞ</v>
          </cell>
          <cell r="D399" t="str">
            <v>SÜLEYMANPAŞA</v>
          </cell>
          <cell r="H399" t="str">
            <v>Dağıtım-OG</v>
          </cell>
          <cell r="I399" t="str">
            <v>Uzun</v>
          </cell>
          <cell r="J399" t="str">
            <v>Dışsal</v>
          </cell>
          <cell r="K399" t="str">
            <v>Bildirimsiz</v>
          </cell>
          <cell r="O399">
            <v>7</v>
          </cell>
          <cell r="P399">
            <v>17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1114.1666666802485</v>
          </cell>
          <cell r="V399">
            <v>2705.8333333663177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C400" t="str">
            <v>TEKİRDAĞ</v>
          </cell>
          <cell r="D400" t="str">
            <v>MURATLI</v>
          </cell>
          <cell r="H400" t="str">
            <v>Dağıtım-AG</v>
          </cell>
          <cell r="I400" t="str">
            <v>Uzun</v>
          </cell>
          <cell r="J400" t="str">
            <v>Şebeke işletmecisi</v>
          </cell>
          <cell r="K400" t="str">
            <v>Bildirimsiz</v>
          </cell>
          <cell r="O400">
            <v>0</v>
          </cell>
          <cell r="P400">
            <v>147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23373.000000718748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C401" t="str">
            <v>EDİRNE</v>
          </cell>
          <cell r="D401" t="str">
            <v>SÜLOĞLU</v>
          </cell>
          <cell r="H401" t="str">
            <v>Dağıtım-AG</v>
          </cell>
          <cell r="I401" t="str">
            <v>Uzun</v>
          </cell>
          <cell r="J401" t="str">
            <v>Şebeke işletmecisi</v>
          </cell>
          <cell r="K401" t="str">
            <v>Bildirimsiz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7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1113.0000000342261</v>
          </cell>
        </row>
        <row r="402">
          <cell r="C402" t="str">
            <v>KIRKLARELİ</v>
          </cell>
          <cell r="D402" t="str">
            <v>PEHLİVANKÖY</v>
          </cell>
          <cell r="H402" t="str">
            <v>Dağıtım-AG</v>
          </cell>
          <cell r="I402" t="str">
            <v>Uzun</v>
          </cell>
          <cell r="J402" t="str">
            <v>Şebeke işletmecisi</v>
          </cell>
          <cell r="K402" t="str">
            <v>Bildirimsiz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57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9042.100000170758</v>
          </cell>
        </row>
        <row r="403">
          <cell r="C403" t="str">
            <v>TEKİRDAĞ</v>
          </cell>
          <cell r="D403" t="str">
            <v>MARMARAEREĞLİSİ</v>
          </cell>
          <cell r="H403" t="str">
            <v>Dağıtım-AG</v>
          </cell>
          <cell r="I403" t="str">
            <v>Uzun</v>
          </cell>
          <cell r="J403" t="str">
            <v>Şebeke işletmecisi</v>
          </cell>
          <cell r="K403" t="str">
            <v>Bildirimsiz</v>
          </cell>
          <cell r="O403">
            <v>0</v>
          </cell>
          <cell r="P403">
            <v>27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4279.50000008801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C404" t="str">
            <v>KIRKLARELİ</v>
          </cell>
          <cell r="D404" t="str">
            <v>KIRKLARELİMERKEZ</v>
          </cell>
          <cell r="H404" t="str">
            <v>Dağıtım-AG</v>
          </cell>
          <cell r="I404" t="str">
            <v>Uzun</v>
          </cell>
          <cell r="J404" t="str">
            <v>Şebeke işletmecisi</v>
          </cell>
          <cell r="K404" t="str">
            <v>Bildirimsiz</v>
          </cell>
          <cell r="O404">
            <v>0</v>
          </cell>
          <cell r="P404">
            <v>58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9186.2333331559785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C405" t="str">
            <v>TEKİRDAĞ</v>
          </cell>
          <cell r="D405" t="str">
            <v>ÇORLU</v>
          </cell>
          <cell r="H405" t="str">
            <v>Dağıtım-AG</v>
          </cell>
          <cell r="I405" t="str">
            <v>Uzun</v>
          </cell>
          <cell r="J405" t="str">
            <v>Şebeke işletmecisi</v>
          </cell>
          <cell r="K405" t="str">
            <v>Bildirimsiz</v>
          </cell>
          <cell r="O405">
            <v>0</v>
          </cell>
          <cell r="P405">
            <v>35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5537.5833333295304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C406" t="str">
            <v>KIRKLARELİ</v>
          </cell>
          <cell r="D406" t="str">
            <v>DEMİRKÖY</v>
          </cell>
          <cell r="H406" t="str">
            <v>Dağıtım-AG</v>
          </cell>
          <cell r="I406" t="str">
            <v>Uzun</v>
          </cell>
          <cell r="J406" t="str">
            <v>Şebeke işletmecisi</v>
          </cell>
          <cell r="K406" t="str">
            <v>Bildirimsiz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1578.3333332743496</v>
          </cell>
        </row>
        <row r="407">
          <cell r="C407" t="str">
            <v>TEKİRDAĞ</v>
          </cell>
          <cell r="D407" t="str">
            <v>MARMARAEREĞLİSİ</v>
          </cell>
          <cell r="H407" t="str">
            <v>Dağıtım-AG</v>
          </cell>
          <cell r="I407" t="str">
            <v>Uzun</v>
          </cell>
          <cell r="J407" t="str">
            <v>Şebeke işletmecisi</v>
          </cell>
          <cell r="K407" t="str">
            <v>Bildirimsiz</v>
          </cell>
          <cell r="O407">
            <v>0</v>
          </cell>
          <cell r="P407">
            <v>9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1419.4499999843538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C408" t="str">
            <v>TEKİRDAĞ</v>
          </cell>
          <cell r="D408" t="str">
            <v>ÇERKEZKÖY</v>
          </cell>
          <cell r="H408" t="str">
            <v>Dağıtım-AG</v>
          </cell>
          <cell r="I408" t="str">
            <v>Uzun</v>
          </cell>
          <cell r="J408" t="str">
            <v>Şebeke işletmecisi</v>
          </cell>
          <cell r="K408" t="str">
            <v>Bildirimsiz</v>
          </cell>
          <cell r="O408">
            <v>0</v>
          </cell>
          <cell r="P408">
            <v>19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2992.1833332593087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C409" t="str">
            <v>TEKİRDAĞ</v>
          </cell>
          <cell r="D409" t="str">
            <v>MALKARA</v>
          </cell>
          <cell r="H409" t="str">
            <v>Dağıtım-AG</v>
          </cell>
          <cell r="I409" t="str">
            <v>Uzun</v>
          </cell>
          <cell r="J409" t="str">
            <v>Şebeke işletmecisi</v>
          </cell>
          <cell r="K409" t="str">
            <v>Bildirimsiz</v>
          </cell>
          <cell r="O409">
            <v>0</v>
          </cell>
          <cell r="P409">
            <v>11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1731.9499999866821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C410" t="str">
            <v>KIRKLARELİ</v>
          </cell>
          <cell r="D410" t="str">
            <v>LÜLEBURGAZ</v>
          </cell>
          <cell r="H410" t="str">
            <v>Dağıtım-AG</v>
          </cell>
          <cell r="I410" t="str">
            <v>Uzun</v>
          </cell>
          <cell r="J410" t="str">
            <v>Şebeke işletmecisi</v>
          </cell>
          <cell r="K410" t="str">
            <v>Bildirimsiz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1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157.0666666701436</v>
          </cell>
        </row>
        <row r="411">
          <cell r="C411" t="str">
            <v>TEKİRDAĞ</v>
          </cell>
          <cell r="D411" t="str">
            <v>SARAY</v>
          </cell>
          <cell r="H411" t="str">
            <v>Dağıtım-AG</v>
          </cell>
          <cell r="I411" t="str">
            <v>Uzun</v>
          </cell>
          <cell r="J411" t="str">
            <v>Şebeke işletmecisi</v>
          </cell>
          <cell r="K411" t="str">
            <v>Bildirimli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313.86666667414829</v>
          </cell>
          <cell r="Y411">
            <v>0</v>
          </cell>
          <cell r="Z411">
            <v>0</v>
          </cell>
        </row>
        <row r="412">
          <cell r="C412" t="str">
            <v>EDİRNE</v>
          </cell>
          <cell r="D412" t="str">
            <v>KEŞAN</v>
          </cell>
          <cell r="H412" t="str">
            <v>Dağıtım-AG</v>
          </cell>
          <cell r="I412" t="str">
            <v>Uzun</v>
          </cell>
          <cell r="J412" t="str">
            <v>Şebeke işletmecisi</v>
          </cell>
          <cell r="K412" t="str">
            <v>Bildirimli</v>
          </cell>
          <cell r="O412">
            <v>0</v>
          </cell>
          <cell r="P412">
            <v>164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25687.866666088812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C413" t="str">
            <v>TEKİRDAĞ</v>
          </cell>
          <cell r="D413" t="str">
            <v>SÜLEYMANPAŞA</v>
          </cell>
          <cell r="H413" t="str">
            <v>Dağıtım-OG</v>
          </cell>
          <cell r="I413" t="str">
            <v>Uzun</v>
          </cell>
          <cell r="J413" t="str">
            <v>Şebeke işletmecisi</v>
          </cell>
          <cell r="K413" t="str">
            <v>Bildirimsiz</v>
          </cell>
          <cell r="O413">
            <v>1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156.56666666851379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C414" t="str">
            <v>TEKİRDAĞ</v>
          </cell>
          <cell r="D414" t="str">
            <v>SARAY</v>
          </cell>
          <cell r="H414" t="str">
            <v>Dağıtım-AG</v>
          </cell>
          <cell r="I414" t="str">
            <v>Uzun</v>
          </cell>
          <cell r="J414" t="str">
            <v>Şebeke işletmecisi</v>
          </cell>
          <cell r="K414" t="str">
            <v>Bildirimli</v>
          </cell>
          <cell r="O414">
            <v>0</v>
          </cell>
          <cell r="P414">
            <v>0</v>
          </cell>
          <cell r="Q414">
            <v>0</v>
          </cell>
          <cell r="R414">
            <v>49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7669.3166666978505</v>
          </cell>
          <cell r="Y414">
            <v>0</v>
          </cell>
          <cell r="Z414">
            <v>0</v>
          </cell>
        </row>
        <row r="415">
          <cell r="C415" t="str">
            <v>EDİRNE</v>
          </cell>
          <cell r="D415" t="str">
            <v>UZUNKÖPRÜ</v>
          </cell>
          <cell r="H415" t="str">
            <v>Dağıtım-AG</v>
          </cell>
          <cell r="I415" t="str">
            <v>Uzun</v>
          </cell>
          <cell r="J415" t="str">
            <v>Şebeke işletmecisi</v>
          </cell>
          <cell r="K415" t="str">
            <v>Bildirimsiz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36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5626.1999999452382</v>
          </cell>
        </row>
        <row r="416">
          <cell r="C416" t="str">
            <v>EDİRNE</v>
          </cell>
          <cell r="D416" t="str">
            <v>HAVSA</v>
          </cell>
          <cell r="H416" t="str">
            <v>Dağıtım-AG</v>
          </cell>
          <cell r="I416" t="str">
            <v>Uzun</v>
          </cell>
          <cell r="J416" t="str">
            <v>Şebeke İşletmecisi</v>
          </cell>
          <cell r="K416" t="str">
            <v>Bildirimsiz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121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18902.216665864689</v>
          </cell>
        </row>
        <row r="417">
          <cell r="C417" t="str">
            <v>EDİRNE</v>
          </cell>
          <cell r="D417" t="str">
            <v>ENEZ</v>
          </cell>
          <cell r="H417" t="str">
            <v>Dağıtım-OG</v>
          </cell>
          <cell r="I417" t="str">
            <v>Uzun</v>
          </cell>
          <cell r="J417" t="str">
            <v>Şebeke İşletmecisi</v>
          </cell>
          <cell r="K417" t="str">
            <v>Bildirimsiz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123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19202.350000175647</v>
          </cell>
        </row>
        <row r="418">
          <cell r="C418" t="str">
            <v>TEKİRDAĞ</v>
          </cell>
          <cell r="D418" t="str">
            <v>HAYRABOLU</v>
          </cell>
          <cell r="H418" t="str">
            <v>Dağıtım-AG</v>
          </cell>
          <cell r="I418" t="str">
            <v>Uzun</v>
          </cell>
          <cell r="J418" t="str">
            <v>Şebeke işletmecisi</v>
          </cell>
          <cell r="K418" t="str">
            <v>Bildirimsiz</v>
          </cell>
          <cell r="O418">
            <v>0</v>
          </cell>
          <cell r="P418">
            <v>0</v>
          </cell>
          <cell r="Q418">
            <v>0</v>
          </cell>
          <cell r="R418">
            <v>3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468.15000002039596</v>
          </cell>
          <cell r="Y418">
            <v>0</v>
          </cell>
          <cell r="Z418">
            <v>0</v>
          </cell>
        </row>
        <row r="419">
          <cell r="C419" t="str">
            <v>TEKİRDAĞ</v>
          </cell>
          <cell r="D419" t="str">
            <v>MARMARAEREĞLİSİ</v>
          </cell>
          <cell r="H419" t="str">
            <v>Dağıtım-AG</v>
          </cell>
          <cell r="I419" t="str">
            <v>Uzun</v>
          </cell>
          <cell r="J419" t="str">
            <v>Şebeke işletmecisi</v>
          </cell>
          <cell r="K419" t="str">
            <v>Bildirimsiz</v>
          </cell>
          <cell r="O419">
            <v>0</v>
          </cell>
          <cell r="P419">
            <v>0</v>
          </cell>
          <cell r="Q419">
            <v>0</v>
          </cell>
          <cell r="R419">
            <v>29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4522.5499998230953</v>
          </cell>
          <cell r="Y419">
            <v>0</v>
          </cell>
          <cell r="Z419">
            <v>0</v>
          </cell>
        </row>
        <row r="420">
          <cell r="C420" t="str">
            <v>EDİRNE</v>
          </cell>
          <cell r="D420" t="str">
            <v>ENEZ</v>
          </cell>
          <cell r="H420" t="str">
            <v>Dağıtım-OG</v>
          </cell>
          <cell r="I420" t="str">
            <v>Uzun</v>
          </cell>
          <cell r="J420" t="str">
            <v>Şebeke işletmecisi</v>
          </cell>
          <cell r="K420" t="str">
            <v>Bildirimsiz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>
            <v>1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155.68333332776092</v>
          </cell>
          <cell r="Z420">
            <v>155.68333332776092</v>
          </cell>
        </row>
        <row r="421">
          <cell r="C421" t="str">
            <v>TEKİRDAĞ</v>
          </cell>
          <cell r="D421" t="str">
            <v>ÇERKEZKÖY</v>
          </cell>
          <cell r="H421" t="str">
            <v>Dağıtım-AG</v>
          </cell>
          <cell r="I421" t="str">
            <v>Uzun</v>
          </cell>
          <cell r="J421" t="str">
            <v>Dışsal</v>
          </cell>
          <cell r="K421" t="str">
            <v>Bildirimsiz</v>
          </cell>
          <cell r="O421">
            <v>0</v>
          </cell>
          <cell r="P421">
            <v>123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19136.749999016756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C422" t="str">
            <v>KIRKLARELİ</v>
          </cell>
          <cell r="D422" t="str">
            <v>DEMİRKÖY</v>
          </cell>
          <cell r="H422" t="str">
            <v>Dağıtım-AG</v>
          </cell>
          <cell r="I422" t="str">
            <v>Uzun</v>
          </cell>
          <cell r="J422" t="str">
            <v>Şebeke işletmecisi</v>
          </cell>
          <cell r="K422" t="str">
            <v>Bildirimsiz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2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310.43333333451301</v>
          </cell>
        </row>
        <row r="423">
          <cell r="C423" t="str">
            <v>TEKİRDAĞ</v>
          </cell>
          <cell r="D423" t="str">
            <v>ÇORLU</v>
          </cell>
          <cell r="H423" t="str">
            <v>Dağıtım-AG</v>
          </cell>
          <cell r="I423" t="str">
            <v>Uzun</v>
          </cell>
          <cell r="J423" t="str">
            <v>Şebeke işletmecisi</v>
          </cell>
          <cell r="K423" t="str">
            <v>Bildirimsiz</v>
          </cell>
          <cell r="O423">
            <v>0</v>
          </cell>
          <cell r="P423">
            <v>4</v>
          </cell>
          <cell r="Q423">
            <v>0</v>
          </cell>
          <cell r="R423">
            <v>0</v>
          </cell>
          <cell r="S423">
            <v>0</v>
          </cell>
          <cell r="T423">
            <v>88</v>
          </cell>
          <cell r="U423">
            <v>0</v>
          </cell>
          <cell r="V423">
            <v>619.86666664481163</v>
          </cell>
          <cell r="W423">
            <v>0</v>
          </cell>
          <cell r="X423">
            <v>0</v>
          </cell>
          <cell r="Y423">
            <v>0</v>
          </cell>
          <cell r="Z423">
            <v>13637.066666185856</v>
          </cell>
        </row>
        <row r="424">
          <cell r="C424" t="str">
            <v>TEKİRDAĞ</v>
          </cell>
          <cell r="D424" t="str">
            <v>MALKARA</v>
          </cell>
          <cell r="H424" t="str">
            <v>Dağıtım-AG</v>
          </cell>
          <cell r="I424" t="str">
            <v>Uzun</v>
          </cell>
          <cell r="J424" t="str">
            <v>Şebeke işletmecisi</v>
          </cell>
          <cell r="K424" t="str">
            <v>Bildirimsiz</v>
          </cell>
          <cell r="O424">
            <v>0</v>
          </cell>
          <cell r="P424">
            <v>180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27870.000000949949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C425" t="str">
            <v>TEKİRDAĞ</v>
          </cell>
          <cell r="D425" t="str">
            <v>SARAY</v>
          </cell>
          <cell r="H425" t="str">
            <v>Dağıtım-OG</v>
          </cell>
          <cell r="I425" t="str">
            <v>Uzun</v>
          </cell>
          <cell r="J425" t="str">
            <v>Şebeke işletmecisi</v>
          </cell>
          <cell r="K425" t="str">
            <v>Bildirimsiz</v>
          </cell>
          <cell r="O425">
            <v>0</v>
          </cell>
          <cell r="P425">
            <v>0</v>
          </cell>
          <cell r="Q425">
            <v>0</v>
          </cell>
          <cell r="R425">
            <v>34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5253.0000000237487</v>
          </cell>
          <cell r="Y425">
            <v>0</v>
          </cell>
          <cell r="Z425">
            <v>0</v>
          </cell>
        </row>
        <row r="426">
          <cell r="C426" t="str">
            <v>KIRKLARELİ</v>
          </cell>
          <cell r="D426" t="str">
            <v>DEMİRKÖY</v>
          </cell>
          <cell r="H426" t="str">
            <v>Dağıtım-OG</v>
          </cell>
          <cell r="I426" t="str">
            <v>Uzun</v>
          </cell>
          <cell r="J426" t="str">
            <v>Şebeke işletmecisi</v>
          </cell>
          <cell r="K426" t="str">
            <v>Bildirimsiz</v>
          </cell>
          <cell r="O426">
            <v>0</v>
          </cell>
          <cell r="P426">
            <v>0</v>
          </cell>
          <cell r="Q426">
            <v>2</v>
          </cell>
          <cell r="R426">
            <v>360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308.46666666911915</v>
          </cell>
          <cell r="X426">
            <v>55524.000000441447</v>
          </cell>
          <cell r="Y426">
            <v>0</v>
          </cell>
          <cell r="Z426">
            <v>0</v>
          </cell>
        </row>
        <row r="427">
          <cell r="C427" t="str">
            <v>KIRKLARELİ</v>
          </cell>
          <cell r="D427" t="str">
            <v>KIRKLARELİMERKEZ</v>
          </cell>
          <cell r="H427" t="str">
            <v>Dağıtım-OG</v>
          </cell>
          <cell r="I427" t="str">
            <v>Uzun</v>
          </cell>
          <cell r="J427" t="str">
            <v>Şebeke işletmecisi</v>
          </cell>
          <cell r="K427" t="str">
            <v>Bildirimsiz</v>
          </cell>
          <cell r="O427">
            <v>0</v>
          </cell>
          <cell r="P427">
            <v>0</v>
          </cell>
          <cell r="Q427">
            <v>0</v>
          </cell>
          <cell r="R427">
            <v>76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11719.199999500997</v>
          </cell>
          <cell r="Y427">
            <v>0</v>
          </cell>
          <cell r="Z427">
            <v>0</v>
          </cell>
        </row>
        <row r="428">
          <cell r="C428" t="str">
            <v>TEKİRDAĞ</v>
          </cell>
          <cell r="D428" t="str">
            <v>SÜLEYMANPAŞA</v>
          </cell>
          <cell r="H428" t="str">
            <v>Dağıtım-AG</v>
          </cell>
          <cell r="I428" t="str">
            <v>Uzun</v>
          </cell>
          <cell r="J428" t="str">
            <v>Şebeke işletmecisi</v>
          </cell>
          <cell r="K428" t="str">
            <v>Bildirimsiz</v>
          </cell>
          <cell r="O428">
            <v>0</v>
          </cell>
          <cell r="P428">
            <v>1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153.53333332808688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C429" t="str">
            <v>EDİRNE</v>
          </cell>
          <cell r="D429" t="str">
            <v>UZUNKÖPRÜ</v>
          </cell>
          <cell r="H429" t="str">
            <v>Dağıtım-OG</v>
          </cell>
          <cell r="I429" t="str">
            <v>Uzun</v>
          </cell>
          <cell r="J429" t="str">
            <v>Şebeke işletmecisi</v>
          </cell>
          <cell r="K429" t="str">
            <v>Bildirimsiz</v>
          </cell>
          <cell r="O429">
            <v>6</v>
          </cell>
          <cell r="P429">
            <v>0</v>
          </cell>
          <cell r="Q429">
            <v>0</v>
          </cell>
          <cell r="R429">
            <v>0</v>
          </cell>
          <cell r="S429">
            <v>2</v>
          </cell>
          <cell r="T429">
            <v>0</v>
          </cell>
          <cell r="U429">
            <v>919.80000001844019</v>
          </cell>
          <cell r="V429">
            <v>0</v>
          </cell>
          <cell r="W429">
            <v>0</v>
          </cell>
          <cell r="X429">
            <v>0</v>
          </cell>
          <cell r="Y429">
            <v>306.60000000614673</v>
          </cell>
          <cell r="Z429">
            <v>0</v>
          </cell>
        </row>
        <row r="430">
          <cell r="C430" t="str">
            <v>TEKİRDAĞ</v>
          </cell>
          <cell r="D430" t="str">
            <v>ERGENE</v>
          </cell>
          <cell r="H430" t="str">
            <v>Dağıtım-OG</v>
          </cell>
          <cell r="I430" t="str">
            <v>Uzun</v>
          </cell>
          <cell r="J430" t="str">
            <v>Şebeke işletmecisi</v>
          </cell>
          <cell r="K430" t="str">
            <v>Bildirimsiz</v>
          </cell>
          <cell r="O430">
            <v>8</v>
          </cell>
          <cell r="P430">
            <v>1243</v>
          </cell>
          <cell r="Q430">
            <v>0</v>
          </cell>
          <cell r="R430">
            <v>0</v>
          </cell>
          <cell r="S430">
            <v>0</v>
          </cell>
          <cell r="T430">
            <v>5</v>
          </cell>
          <cell r="U430">
            <v>1224.3999999761581</v>
          </cell>
          <cell r="V430">
            <v>190241.14999629557</v>
          </cell>
          <cell r="W430">
            <v>0</v>
          </cell>
          <cell r="X430">
            <v>0</v>
          </cell>
          <cell r="Y430">
            <v>0</v>
          </cell>
          <cell r="Z430">
            <v>765.24999998509884</v>
          </cell>
        </row>
        <row r="431">
          <cell r="C431" t="str">
            <v>TEKİRDAĞ</v>
          </cell>
          <cell r="D431" t="str">
            <v>ÇORLU</v>
          </cell>
          <cell r="H431" t="str">
            <v>Dağıtım-AG</v>
          </cell>
          <cell r="I431" t="str">
            <v>Uzun</v>
          </cell>
          <cell r="J431" t="str">
            <v>Şebeke işletmecisi</v>
          </cell>
          <cell r="K431" t="str">
            <v>Bildirimsiz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44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6709.9999997438863</v>
          </cell>
        </row>
        <row r="432">
          <cell r="C432" t="str">
            <v>TEKİRDAĞ</v>
          </cell>
          <cell r="D432" t="str">
            <v>MALKARA</v>
          </cell>
          <cell r="H432" t="str">
            <v>Dağıtım-AG</v>
          </cell>
          <cell r="I432" t="str">
            <v>Uzun</v>
          </cell>
          <cell r="J432" t="str">
            <v>Şebeke işletmecisi</v>
          </cell>
          <cell r="K432" t="str">
            <v>Bildirimli</v>
          </cell>
          <cell r="O432">
            <v>0</v>
          </cell>
          <cell r="P432">
            <v>73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11108.166666672332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C433" t="str">
            <v>TEKİRDAĞ</v>
          </cell>
          <cell r="D433" t="str">
            <v>ERGENE</v>
          </cell>
          <cell r="H433" t="str">
            <v>Dağıtım-AG</v>
          </cell>
          <cell r="I433" t="str">
            <v>Uzun</v>
          </cell>
          <cell r="J433" t="str">
            <v>Şebeke işletmecisi</v>
          </cell>
          <cell r="K433" t="str">
            <v>Bildirimsiz</v>
          </cell>
          <cell r="O433">
            <v>0</v>
          </cell>
          <cell r="P433">
            <v>6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912.00000001816079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C434" t="str">
            <v>EDİRNE</v>
          </cell>
          <cell r="D434" t="str">
            <v>EDİRNEMERKEZ</v>
          </cell>
          <cell r="H434" t="str">
            <v>Dağıtım-AG</v>
          </cell>
          <cell r="I434" t="str">
            <v>Uzun</v>
          </cell>
          <cell r="J434" t="str">
            <v>Şebeke işletmecisi</v>
          </cell>
          <cell r="K434" t="str">
            <v>Bildirimsiz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142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21579.266665989999</v>
          </cell>
        </row>
        <row r="435">
          <cell r="C435" t="str">
            <v>EDİRNE</v>
          </cell>
          <cell r="D435" t="str">
            <v>İPSALA</v>
          </cell>
          <cell r="H435" t="str">
            <v>Dağıtım-OG</v>
          </cell>
          <cell r="I435" t="str">
            <v>Uzun</v>
          </cell>
          <cell r="J435" t="str">
            <v>Şebeke işletmecisi</v>
          </cell>
          <cell r="K435" t="str">
            <v>Bildirimli</v>
          </cell>
          <cell r="O435">
            <v>0</v>
          </cell>
          <cell r="P435">
            <v>0</v>
          </cell>
          <cell r="Q435">
            <v>0</v>
          </cell>
          <cell r="R435">
            <v>236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35738.266665791161</v>
          </cell>
          <cell r="Y435">
            <v>0</v>
          </cell>
          <cell r="Z435">
            <v>0</v>
          </cell>
        </row>
        <row r="436">
          <cell r="C436" t="str">
            <v>TEKİRDAĞ</v>
          </cell>
          <cell r="D436" t="str">
            <v>SÜLEYMANPAŞA</v>
          </cell>
          <cell r="H436" t="str">
            <v>Dağıtım-AG</v>
          </cell>
          <cell r="I436" t="str">
            <v>Uzun</v>
          </cell>
          <cell r="J436" t="str">
            <v>Dışsal</v>
          </cell>
          <cell r="K436" t="str">
            <v>Bildirimsiz</v>
          </cell>
          <cell r="O436">
            <v>0</v>
          </cell>
          <cell r="P436">
            <v>46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6957.5000002677552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C437" t="str">
            <v>EDİRNE</v>
          </cell>
          <cell r="D437" t="str">
            <v>KEŞAN</v>
          </cell>
          <cell r="H437" t="str">
            <v>Dağıtım-AG</v>
          </cell>
          <cell r="I437" t="str">
            <v>Uzun</v>
          </cell>
          <cell r="J437" t="str">
            <v>Şebeke işletmecisi</v>
          </cell>
          <cell r="K437" t="str">
            <v>Bildirimsiz</v>
          </cell>
          <cell r="O437">
            <v>0</v>
          </cell>
          <cell r="P437">
            <v>0</v>
          </cell>
          <cell r="Q437">
            <v>0</v>
          </cell>
          <cell r="R437">
            <v>44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6643.9999999897555</v>
          </cell>
          <cell r="Y437">
            <v>0</v>
          </cell>
          <cell r="Z437">
            <v>0</v>
          </cell>
        </row>
        <row r="438">
          <cell r="C438" t="str">
            <v>KIRKLARELİ</v>
          </cell>
          <cell r="D438" t="str">
            <v>DEMİRKÖY</v>
          </cell>
          <cell r="H438" t="str">
            <v>Dağıtım-OG</v>
          </cell>
          <cell r="I438" t="str">
            <v>Uzun</v>
          </cell>
          <cell r="J438" t="str">
            <v>Şebeke işletmecisi</v>
          </cell>
          <cell r="K438" t="str">
            <v>Bildirimsiz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3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452.75000000372529</v>
          </cell>
        </row>
        <row r="439">
          <cell r="C439" t="str">
            <v>KIRKLARELİ</v>
          </cell>
          <cell r="D439" t="str">
            <v>LÜLEBURGAZ</v>
          </cell>
          <cell r="H439" t="str">
            <v>Dağıtım-AG</v>
          </cell>
          <cell r="I439" t="str">
            <v>Uzun</v>
          </cell>
          <cell r="J439" t="str">
            <v>Şebeke işletmecisi</v>
          </cell>
          <cell r="K439" t="str">
            <v>Bildirimsiz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4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601.93333331029862</v>
          </cell>
        </row>
        <row r="440">
          <cell r="C440" t="str">
            <v>EDİRNE</v>
          </cell>
          <cell r="D440" t="str">
            <v>EDİRNEMERKEZ</v>
          </cell>
          <cell r="H440" t="str">
            <v>Dağıtım-OG</v>
          </cell>
          <cell r="I440" t="str">
            <v>Uzun</v>
          </cell>
          <cell r="J440" t="str">
            <v>Şebeke işletmecisi</v>
          </cell>
          <cell r="K440" t="str">
            <v>Bildirimsiz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5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749.9999999825377</v>
          </cell>
          <cell r="Z440">
            <v>0</v>
          </cell>
        </row>
        <row r="441">
          <cell r="C441" t="str">
            <v>TEKİRDAĞ</v>
          </cell>
          <cell r="D441" t="str">
            <v>ÇORLU</v>
          </cell>
          <cell r="H441" t="str">
            <v>Dağıtım-OG</v>
          </cell>
          <cell r="I441" t="str">
            <v>Uzun</v>
          </cell>
          <cell r="J441" t="str">
            <v>Şebeke işletmecisi</v>
          </cell>
          <cell r="K441" t="str">
            <v>Bildirimli</v>
          </cell>
          <cell r="O441">
            <v>4</v>
          </cell>
          <cell r="P441">
            <v>1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599.79999998118728</v>
          </cell>
          <cell r="V441">
            <v>149.94999999529682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C442" t="str">
            <v>KIRKLARELİ</v>
          </cell>
          <cell r="D442" t="str">
            <v>KIRKLARELİMERKEZ</v>
          </cell>
          <cell r="H442" t="str">
            <v>Dağıtım-OG</v>
          </cell>
          <cell r="I442" t="str">
            <v>Uzun</v>
          </cell>
          <cell r="J442" t="str">
            <v>Şebeke işletmecisi</v>
          </cell>
          <cell r="K442" t="str">
            <v>Bildirimsiz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1</v>
          </cell>
          <cell r="T442">
            <v>190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149.7166666702833</v>
          </cell>
          <cell r="Z442">
            <v>28446.166667353828</v>
          </cell>
        </row>
        <row r="443">
          <cell r="C443" t="str">
            <v>KIRKLARELİ</v>
          </cell>
          <cell r="D443" t="str">
            <v>LÜLEBURGAZ</v>
          </cell>
          <cell r="H443" t="str">
            <v>Dağıtım-AG</v>
          </cell>
          <cell r="I443" t="str">
            <v>Uzun</v>
          </cell>
          <cell r="J443" t="str">
            <v>Şebeke işletmecisi</v>
          </cell>
          <cell r="K443" t="str">
            <v>Bildirimsiz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42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6279.0000002249144</v>
          </cell>
        </row>
        <row r="444">
          <cell r="C444" t="str">
            <v>EDİRNE</v>
          </cell>
          <cell r="D444" t="str">
            <v>LALAPAŞA</v>
          </cell>
          <cell r="H444" t="str">
            <v>Dağıtım-AG</v>
          </cell>
          <cell r="I444" t="str">
            <v>Uzun</v>
          </cell>
          <cell r="J444" t="str">
            <v>Şebeke işletmecisi</v>
          </cell>
          <cell r="K444" t="str">
            <v>Bildirimsiz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148.64999999525025</v>
          </cell>
        </row>
        <row r="445">
          <cell r="C445" t="str">
            <v>TEKİRDAĞ</v>
          </cell>
          <cell r="D445" t="str">
            <v>MALKARA</v>
          </cell>
          <cell r="H445" t="str">
            <v>Dağıtım-AG</v>
          </cell>
          <cell r="I445" t="str">
            <v>Uzun</v>
          </cell>
          <cell r="J445" t="str">
            <v>Şebeke işletmecisi</v>
          </cell>
          <cell r="K445" t="str">
            <v>Bildirimsiz</v>
          </cell>
          <cell r="O445">
            <v>0</v>
          </cell>
          <cell r="P445">
            <v>3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445.30000002239831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C446" t="str">
            <v>EDİRNE</v>
          </cell>
          <cell r="D446" t="str">
            <v>İPSALA</v>
          </cell>
          <cell r="H446" t="str">
            <v>Dağıtım-OG</v>
          </cell>
          <cell r="I446" t="str">
            <v>Uzun</v>
          </cell>
          <cell r="J446" t="str">
            <v>Şebeke işletmecisi</v>
          </cell>
          <cell r="K446" t="str">
            <v>Bildirimsiz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2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296.00000000093132</v>
          </cell>
          <cell r="Z446">
            <v>0</v>
          </cell>
        </row>
        <row r="447">
          <cell r="C447" t="str">
            <v>TEKİRDAĞ</v>
          </cell>
          <cell r="D447" t="str">
            <v>MARMARAEREĞLİSİ</v>
          </cell>
          <cell r="H447" t="str">
            <v>Dağıtım-AG</v>
          </cell>
          <cell r="I447" t="str">
            <v>Uzun</v>
          </cell>
          <cell r="J447" t="str">
            <v>Şebeke işletmecisi</v>
          </cell>
          <cell r="K447" t="str">
            <v>Bildirimsiz</v>
          </cell>
          <cell r="O447">
            <v>0</v>
          </cell>
          <cell r="P447">
            <v>351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>
            <v>51948.000000163447</v>
          </cell>
          <cell r="W447">
            <v>0</v>
          </cell>
          <cell r="X447">
            <v>296.00000000093132</v>
          </cell>
          <cell r="Y447">
            <v>0</v>
          </cell>
          <cell r="Z447">
            <v>0</v>
          </cell>
        </row>
        <row r="448">
          <cell r="C448" t="str">
            <v>TEKİRDAĞ</v>
          </cell>
          <cell r="D448" t="str">
            <v>ÇERKEZKÖY</v>
          </cell>
          <cell r="H448" t="str">
            <v>Dağıtım-AG</v>
          </cell>
          <cell r="I448" t="str">
            <v>Uzun</v>
          </cell>
          <cell r="J448" t="str">
            <v>Şebeke işletmecisi</v>
          </cell>
          <cell r="K448" t="str">
            <v>Bildirimsiz</v>
          </cell>
          <cell r="O448">
            <v>0</v>
          </cell>
          <cell r="P448">
            <v>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443.95000002114102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C449" t="str">
            <v>EDİRNE</v>
          </cell>
          <cell r="D449" t="str">
            <v>KEŞAN</v>
          </cell>
          <cell r="H449" t="str">
            <v>Dağıtım-AG</v>
          </cell>
          <cell r="I449" t="str">
            <v>Uzun</v>
          </cell>
          <cell r="J449" t="str">
            <v>Şebeke işletmecisi</v>
          </cell>
          <cell r="K449" t="str">
            <v>Bildirimli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227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33588.433334048605</v>
          </cell>
        </row>
        <row r="450">
          <cell r="C450" t="str">
            <v>TEKİRDAĞ</v>
          </cell>
          <cell r="D450" t="str">
            <v>MARMARAEREĞLİSİ</v>
          </cell>
          <cell r="H450" t="str">
            <v>Dağıtım-AG</v>
          </cell>
          <cell r="I450" t="str">
            <v>Uzun</v>
          </cell>
          <cell r="J450" t="str">
            <v>Şebeke işletmecisi</v>
          </cell>
          <cell r="K450" t="str">
            <v>Bildirimsiz</v>
          </cell>
          <cell r="O450">
            <v>0</v>
          </cell>
          <cell r="P450">
            <v>12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1766.7999999923632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C451" t="str">
            <v>KIRKLARELİ</v>
          </cell>
          <cell r="D451" t="str">
            <v>DEMİRKÖY</v>
          </cell>
          <cell r="H451" t="str">
            <v>Dağıtım-OG</v>
          </cell>
          <cell r="I451" t="str">
            <v>Uzun</v>
          </cell>
          <cell r="J451" t="str">
            <v>Şebeke işletmecisi</v>
          </cell>
          <cell r="K451" t="str">
            <v>Bildirimsiz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1</v>
          </cell>
          <cell r="T451">
            <v>122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147.21666666213423</v>
          </cell>
          <cell r="Z451">
            <v>17960.433332780376</v>
          </cell>
        </row>
        <row r="452">
          <cell r="C452" t="str">
            <v>EDİRNE</v>
          </cell>
          <cell r="D452" t="str">
            <v>İPSALA</v>
          </cell>
          <cell r="H452" t="str">
            <v>Dağıtım-OG</v>
          </cell>
          <cell r="I452" t="str">
            <v>Uzun</v>
          </cell>
          <cell r="J452" t="str">
            <v>Şebeke işletmecisi</v>
          </cell>
          <cell r="K452" t="str">
            <v>Bildirimli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6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880.60000003315508</v>
          </cell>
          <cell r="Z452">
            <v>0</v>
          </cell>
        </row>
        <row r="453">
          <cell r="C453" t="str">
            <v>TEKİRDAĞ</v>
          </cell>
          <cell r="D453" t="str">
            <v>SÜLEYMANPAŞA</v>
          </cell>
          <cell r="H453" t="str">
            <v>Dağıtım-OG</v>
          </cell>
          <cell r="I453" t="str">
            <v>Uzun</v>
          </cell>
          <cell r="J453" t="str">
            <v>Şebeke işletmecisi</v>
          </cell>
          <cell r="K453" t="str">
            <v>Bildirimsiz</v>
          </cell>
          <cell r="O453">
            <v>0</v>
          </cell>
          <cell r="P453">
            <v>0</v>
          </cell>
          <cell r="Q453">
            <v>1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146.54999999678694</v>
          </cell>
          <cell r="X453">
            <v>0</v>
          </cell>
          <cell r="Y453">
            <v>0</v>
          </cell>
          <cell r="Z453">
            <v>0</v>
          </cell>
        </row>
        <row r="454">
          <cell r="C454" t="str">
            <v>TEKİRDAĞ</v>
          </cell>
          <cell r="D454" t="str">
            <v>ÇERKEZKÖY</v>
          </cell>
          <cell r="H454" t="str">
            <v>Dağıtım-AG</v>
          </cell>
          <cell r="I454" t="str">
            <v>Uzun</v>
          </cell>
          <cell r="J454" t="str">
            <v>Dışsal</v>
          </cell>
          <cell r="K454" t="str">
            <v>Bildirimsiz</v>
          </cell>
          <cell r="O454">
            <v>0</v>
          </cell>
          <cell r="P454">
            <v>12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1758.4000000404194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C455" t="str">
            <v>EDİRNE</v>
          </cell>
          <cell r="D455" t="str">
            <v>İPSALA</v>
          </cell>
          <cell r="H455" t="str">
            <v>Dağıtım-OG</v>
          </cell>
          <cell r="I455" t="str">
            <v>Uzun</v>
          </cell>
          <cell r="J455" t="str">
            <v>Şebeke işletmecisi</v>
          </cell>
          <cell r="K455" t="str">
            <v>Bildirimsiz</v>
          </cell>
          <cell r="O455">
            <v>0</v>
          </cell>
          <cell r="P455">
            <v>0</v>
          </cell>
          <cell r="Q455">
            <v>2</v>
          </cell>
          <cell r="R455">
            <v>0</v>
          </cell>
          <cell r="S455">
            <v>11</v>
          </cell>
          <cell r="T455">
            <v>0</v>
          </cell>
          <cell r="U455">
            <v>0</v>
          </cell>
          <cell r="V455">
            <v>0</v>
          </cell>
          <cell r="W455">
            <v>292.09999999031425</v>
          </cell>
          <cell r="X455">
            <v>0</v>
          </cell>
          <cell r="Y455">
            <v>1606.5499999467283</v>
          </cell>
          <cell r="Z455">
            <v>0</v>
          </cell>
        </row>
        <row r="456">
          <cell r="C456" t="str">
            <v>EDİRNE</v>
          </cell>
          <cell r="D456" t="str">
            <v>ENEZ</v>
          </cell>
          <cell r="H456" t="str">
            <v>Dağıtım-AG</v>
          </cell>
          <cell r="I456" t="str">
            <v>Uzun</v>
          </cell>
          <cell r="J456" t="str">
            <v>Şebeke işletmecisi</v>
          </cell>
          <cell r="K456" t="str">
            <v>Bildirimsiz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1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145.7999999995809</v>
          </cell>
        </row>
        <row r="457">
          <cell r="C457" t="str">
            <v>KIRKLARELİ</v>
          </cell>
          <cell r="D457" t="str">
            <v>LÜLEBURGAZ</v>
          </cell>
          <cell r="H457" t="str">
            <v>Dağıtım-OG</v>
          </cell>
          <cell r="I457" t="str">
            <v>Uzun</v>
          </cell>
          <cell r="J457" t="str">
            <v>Şebeke işletmecisi</v>
          </cell>
          <cell r="K457" t="str">
            <v>Bildirimsiz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389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56703.233330139192</v>
          </cell>
        </row>
        <row r="458">
          <cell r="C458" t="str">
            <v>EDİRNE</v>
          </cell>
          <cell r="D458" t="str">
            <v>İPSALA</v>
          </cell>
          <cell r="H458" t="str">
            <v>Dağıtım-AG</v>
          </cell>
          <cell r="I458" t="str">
            <v>Uzun</v>
          </cell>
          <cell r="J458" t="str">
            <v>Şebeke işletmecisi</v>
          </cell>
          <cell r="K458" t="str">
            <v>Bildirimsiz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145.43333333102055</v>
          </cell>
        </row>
        <row r="459">
          <cell r="C459" t="str">
            <v>KIRKLARELİ</v>
          </cell>
          <cell r="D459" t="str">
            <v>BABAESKİ</v>
          </cell>
          <cell r="H459" t="str">
            <v>Dağıtım-AG</v>
          </cell>
          <cell r="I459" t="str">
            <v>Uzun</v>
          </cell>
          <cell r="J459" t="str">
            <v>Şebeke işletmecisi</v>
          </cell>
          <cell r="K459" t="str">
            <v>Bildirimsiz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100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14528.333333786577</v>
          </cell>
        </row>
        <row r="460">
          <cell r="C460" t="str">
            <v>KIRKLARELİ</v>
          </cell>
          <cell r="D460" t="str">
            <v>LÜLEBURGAZ</v>
          </cell>
          <cell r="H460" t="str">
            <v>Dağıtım-AG</v>
          </cell>
          <cell r="I460" t="str">
            <v>Uzun</v>
          </cell>
          <cell r="J460" t="str">
            <v>Şebeke işletmecisi</v>
          </cell>
          <cell r="K460" t="str">
            <v>Bildirimsiz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22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3195.8666666806675</v>
          </cell>
        </row>
        <row r="461">
          <cell r="C461" t="str">
            <v>TEKİRDAĞ</v>
          </cell>
          <cell r="D461" t="str">
            <v>ÇORLU</v>
          </cell>
          <cell r="H461" t="str">
            <v>Dağıtım-AG</v>
          </cell>
          <cell r="I461" t="str">
            <v>Uzun</v>
          </cell>
          <cell r="J461" t="str">
            <v>Şebeke işletmecisi</v>
          </cell>
          <cell r="K461" t="str">
            <v>Bildirimsiz</v>
          </cell>
          <cell r="O461">
            <v>0</v>
          </cell>
          <cell r="P461">
            <v>49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7109.0833333181217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C462" t="str">
            <v>EDİRNE</v>
          </cell>
          <cell r="D462" t="str">
            <v>İPSALA</v>
          </cell>
          <cell r="H462" t="str">
            <v>Dağıtım-AG</v>
          </cell>
          <cell r="I462" t="str">
            <v>Uzun</v>
          </cell>
          <cell r="J462" t="str">
            <v>Şebeke işletmecisi</v>
          </cell>
          <cell r="K462" t="str">
            <v>Bildirimsiz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9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1305.749999997206</v>
          </cell>
        </row>
        <row r="463">
          <cell r="C463" t="str">
            <v>TEKİRDAĞ</v>
          </cell>
          <cell r="D463" t="str">
            <v>ERGENE</v>
          </cell>
          <cell r="H463" t="str">
            <v>Dağıtım-OG</v>
          </cell>
          <cell r="I463" t="str">
            <v>Uzun</v>
          </cell>
          <cell r="J463" t="str">
            <v>Şebeke işletmecisi</v>
          </cell>
          <cell r="K463" t="str">
            <v>Bildirimsiz</v>
          </cell>
          <cell r="O463">
            <v>0</v>
          </cell>
          <cell r="P463">
            <v>19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2754.3666667398065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C464" t="str">
            <v>EDİRNE</v>
          </cell>
          <cell r="D464" t="str">
            <v>KEŞAN</v>
          </cell>
          <cell r="H464" t="str">
            <v>Dağıtım-AG</v>
          </cell>
          <cell r="I464" t="str">
            <v>Uzun</v>
          </cell>
          <cell r="J464" t="str">
            <v>Şebeke işletmecisi</v>
          </cell>
          <cell r="K464" t="str">
            <v>Bildirimli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80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11565.333333704621</v>
          </cell>
        </row>
        <row r="465">
          <cell r="C465" t="str">
            <v>TEKİRDAĞ</v>
          </cell>
          <cell r="D465" t="str">
            <v>ŞARKÖY</v>
          </cell>
          <cell r="H465" t="str">
            <v>Dağıtım-AG</v>
          </cell>
          <cell r="I465" t="str">
            <v>Uzun</v>
          </cell>
          <cell r="J465" t="str">
            <v>Şebeke işletmecisi</v>
          </cell>
          <cell r="K465" t="str">
            <v>Bildirimsiz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13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1876.3333332294133</v>
          </cell>
        </row>
        <row r="466">
          <cell r="C466" t="str">
            <v>TEKİRDAĞ</v>
          </cell>
          <cell r="D466" t="str">
            <v>ERGENE</v>
          </cell>
          <cell r="H466" t="str">
            <v>Dağıtım-AG</v>
          </cell>
          <cell r="I466" t="str">
            <v>Uzun</v>
          </cell>
          <cell r="J466" t="str">
            <v>Şebeke işletmecisi</v>
          </cell>
          <cell r="K466" t="str">
            <v>Bildirimsiz</v>
          </cell>
          <cell r="O466">
            <v>0</v>
          </cell>
          <cell r="P466">
            <v>149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21485.800000409363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C467" t="str">
            <v>TEKİRDAĞ</v>
          </cell>
          <cell r="D467" t="str">
            <v>SÜLEYMANPAŞA</v>
          </cell>
          <cell r="H467" t="str">
            <v>Dağıtım-AG</v>
          </cell>
          <cell r="I467" t="str">
            <v>Uzun</v>
          </cell>
          <cell r="J467" t="str">
            <v>Şebeke işletmecisi</v>
          </cell>
          <cell r="K467" t="str">
            <v>Bildirimsiz</v>
          </cell>
          <cell r="O467">
            <v>0</v>
          </cell>
          <cell r="P467">
            <v>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1004.1500000387896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C468" t="str">
            <v>TEKİRDAĞ</v>
          </cell>
          <cell r="D468" t="str">
            <v>ŞARKÖY</v>
          </cell>
          <cell r="H468" t="str">
            <v>Dağıtım-AG</v>
          </cell>
          <cell r="I468" t="str">
            <v>Uzun</v>
          </cell>
          <cell r="J468" t="str">
            <v>Şebeke işletmecisi</v>
          </cell>
          <cell r="K468" t="str">
            <v>Bildirimsiz</v>
          </cell>
          <cell r="O468">
            <v>0</v>
          </cell>
          <cell r="P468">
            <v>2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286.36666665785015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C469" t="str">
            <v>TEKİRDAĞ</v>
          </cell>
          <cell r="D469" t="str">
            <v>SARAY</v>
          </cell>
          <cell r="H469" t="str">
            <v>Dağıtım-AG</v>
          </cell>
          <cell r="I469" t="str">
            <v>Uzun</v>
          </cell>
          <cell r="J469" t="str">
            <v>Şebeke işletmecisi</v>
          </cell>
          <cell r="K469" t="str">
            <v>Bildirimli</v>
          </cell>
          <cell r="O469">
            <v>0</v>
          </cell>
          <cell r="P469">
            <v>0</v>
          </cell>
          <cell r="Q469">
            <v>0</v>
          </cell>
          <cell r="R469">
            <v>58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8297.8666666522622</v>
          </cell>
          <cell r="Y469">
            <v>0</v>
          </cell>
          <cell r="Z469">
            <v>0</v>
          </cell>
        </row>
        <row r="470">
          <cell r="C470" t="str">
            <v>KIRKLARELİ</v>
          </cell>
          <cell r="D470" t="str">
            <v>KOFÇAZ</v>
          </cell>
          <cell r="H470" t="str">
            <v>Dağıtım-OG</v>
          </cell>
          <cell r="I470" t="str">
            <v>Uzun</v>
          </cell>
          <cell r="J470" t="str">
            <v>Şebeke işletmecisi</v>
          </cell>
          <cell r="K470" t="str">
            <v>Bildirimsiz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9</v>
          </cell>
          <cell r="T470">
            <v>169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1284.1499999456573</v>
          </cell>
          <cell r="Z470">
            <v>24113.483332312899</v>
          </cell>
        </row>
        <row r="471">
          <cell r="C471" t="str">
            <v>EDİRNE</v>
          </cell>
          <cell r="D471" t="str">
            <v>HAVSA</v>
          </cell>
          <cell r="H471" t="str">
            <v>Dağıtım-AG</v>
          </cell>
          <cell r="I471" t="str">
            <v>Uzun</v>
          </cell>
          <cell r="J471" t="str">
            <v>Şebeke işletmecisi</v>
          </cell>
          <cell r="K471" t="str">
            <v>Bildirimsiz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142.63333333656192</v>
          </cell>
          <cell r="Y471">
            <v>0</v>
          </cell>
          <cell r="Z471">
            <v>0</v>
          </cell>
        </row>
        <row r="472">
          <cell r="C472" t="str">
            <v>TEKİRDAĞ</v>
          </cell>
          <cell r="D472" t="str">
            <v>SÜLEYMANPAŞA</v>
          </cell>
          <cell r="H472" t="str">
            <v>Dağıtım-AG</v>
          </cell>
          <cell r="I472" t="str">
            <v>Uzun</v>
          </cell>
          <cell r="J472" t="str">
            <v>Şebeke işletmecisi</v>
          </cell>
          <cell r="K472" t="str">
            <v>Bildirimsiz</v>
          </cell>
          <cell r="O472">
            <v>0</v>
          </cell>
          <cell r="P472">
            <v>1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142.41666666115634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C473" t="str">
            <v>TEKİRDAĞ</v>
          </cell>
          <cell r="D473" t="str">
            <v>ÇERKEZKÖY</v>
          </cell>
          <cell r="H473" t="str">
            <v>Dağıtım-AG</v>
          </cell>
          <cell r="I473" t="str">
            <v>Uzun</v>
          </cell>
          <cell r="J473" t="str">
            <v>Dışsal</v>
          </cell>
          <cell r="K473" t="str">
            <v>Bildirimsiz</v>
          </cell>
          <cell r="O473">
            <v>0</v>
          </cell>
          <cell r="P473">
            <v>1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142.26666666800156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C474" t="str">
            <v>TEKİRDAĞ</v>
          </cell>
          <cell r="D474" t="str">
            <v>ÇORLU</v>
          </cell>
          <cell r="H474" t="str">
            <v>Dağıtım-AG</v>
          </cell>
          <cell r="I474" t="str">
            <v>Uzun</v>
          </cell>
          <cell r="J474" t="str">
            <v>Dışsal</v>
          </cell>
          <cell r="K474" t="str">
            <v>Bildirimsiz</v>
          </cell>
          <cell r="O474">
            <v>0</v>
          </cell>
          <cell r="P474">
            <v>28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3980.1999998604879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C475" t="str">
            <v>KIRKLARELİ</v>
          </cell>
          <cell r="D475" t="str">
            <v>BABAESKİ</v>
          </cell>
          <cell r="H475" t="str">
            <v>Dağıtım-OG</v>
          </cell>
          <cell r="I475" t="str">
            <v>Uzun</v>
          </cell>
          <cell r="J475" t="str">
            <v>Şebeke işletmecisi</v>
          </cell>
          <cell r="K475" t="str">
            <v>Bildirimsiz</v>
          </cell>
          <cell r="O475">
            <v>4</v>
          </cell>
          <cell r="P475">
            <v>19</v>
          </cell>
          <cell r="Q475">
            <v>0</v>
          </cell>
          <cell r="R475">
            <v>0</v>
          </cell>
          <cell r="S475">
            <v>22</v>
          </cell>
          <cell r="T475">
            <v>1210</v>
          </cell>
          <cell r="U475">
            <v>568.00000000745058</v>
          </cell>
          <cell r="V475">
            <v>2698.0000000353903</v>
          </cell>
          <cell r="W475">
            <v>0</v>
          </cell>
          <cell r="X475">
            <v>0</v>
          </cell>
          <cell r="Y475">
            <v>3124.0000000409782</v>
          </cell>
          <cell r="Z475">
            <v>171820.0000022538</v>
          </cell>
        </row>
        <row r="476">
          <cell r="C476" t="str">
            <v>KIRKLARELİ</v>
          </cell>
          <cell r="D476" t="str">
            <v>KIRKLARELİMERKEZ</v>
          </cell>
          <cell r="H476" t="str">
            <v>Dağıtım-AG</v>
          </cell>
          <cell r="I476" t="str">
            <v>Uzun</v>
          </cell>
          <cell r="J476" t="str">
            <v>Şebeke işletmecisi</v>
          </cell>
          <cell r="K476" t="str">
            <v>Bildirimsiz</v>
          </cell>
          <cell r="O476">
            <v>0</v>
          </cell>
          <cell r="P476">
            <v>72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10224.00000013411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C477" t="str">
            <v>KIRKLARELİ</v>
          </cell>
          <cell r="D477" t="str">
            <v>DEMİRKÖY</v>
          </cell>
          <cell r="H477" t="str">
            <v>Dağıtım-AG</v>
          </cell>
          <cell r="I477" t="str">
            <v>Uzun</v>
          </cell>
          <cell r="J477" t="str">
            <v>Şebeke işletmecisi</v>
          </cell>
          <cell r="K477" t="str">
            <v>Bildirimsiz</v>
          </cell>
          <cell r="O477">
            <v>0</v>
          </cell>
          <cell r="P477">
            <v>0</v>
          </cell>
          <cell r="Q477">
            <v>0</v>
          </cell>
          <cell r="R477">
            <v>3</v>
          </cell>
          <cell r="S477">
            <v>0</v>
          </cell>
          <cell r="T477">
            <v>3</v>
          </cell>
          <cell r="U477">
            <v>0</v>
          </cell>
          <cell r="V477">
            <v>0</v>
          </cell>
          <cell r="W477">
            <v>0</v>
          </cell>
          <cell r="X477">
            <v>425.19999997573905</v>
          </cell>
          <cell r="Y477">
            <v>0</v>
          </cell>
          <cell r="Z477">
            <v>425.19999997573905</v>
          </cell>
        </row>
        <row r="478">
          <cell r="C478" t="str">
            <v>TEKİRDAĞ</v>
          </cell>
          <cell r="D478" t="str">
            <v>ÇERKEZKÖY</v>
          </cell>
          <cell r="H478" t="str">
            <v>Dağıtım-AG</v>
          </cell>
          <cell r="I478" t="str">
            <v>Uzun</v>
          </cell>
          <cell r="J478" t="str">
            <v>Şebeke işletmecisi</v>
          </cell>
          <cell r="K478" t="str">
            <v>Bildirimsiz</v>
          </cell>
          <cell r="O478">
            <v>0</v>
          </cell>
          <cell r="P478">
            <v>7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990.96666663070209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C479" t="str">
            <v>TEKİRDAĞ</v>
          </cell>
          <cell r="D479" t="str">
            <v>SÜLEYMANPAŞA</v>
          </cell>
          <cell r="H479" t="str">
            <v>Dağıtım-AG</v>
          </cell>
          <cell r="I479" t="str">
            <v>Uzun</v>
          </cell>
          <cell r="J479" t="str">
            <v>Şebeke işletmecisi</v>
          </cell>
          <cell r="K479" t="str">
            <v>Bildirimsiz</v>
          </cell>
          <cell r="O479">
            <v>0</v>
          </cell>
          <cell r="P479">
            <v>85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12026.083333021961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C480" t="str">
            <v>KIRKLARELİ</v>
          </cell>
          <cell r="D480" t="str">
            <v>PEHLİVANKÖY</v>
          </cell>
          <cell r="H480" t="str">
            <v>Dağıtım-OG</v>
          </cell>
          <cell r="I480" t="str">
            <v>Uzun</v>
          </cell>
          <cell r="J480" t="str">
            <v>Şebeke işletmecisi</v>
          </cell>
          <cell r="K480" t="str">
            <v>Bildirimli</v>
          </cell>
          <cell r="O480">
            <v>0</v>
          </cell>
          <cell r="P480">
            <v>0</v>
          </cell>
          <cell r="Q480">
            <v>0</v>
          </cell>
          <cell r="R480">
            <v>25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3532.9166666488163</v>
          </cell>
          <cell r="Y480">
            <v>0</v>
          </cell>
          <cell r="Z480">
            <v>0</v>
          </cell>
        </row>
        <row r="481">
          <cell r="C481" t="str">
            <v>TEKİRDAĞ</v>
          </cell>
          <cell r="D481" t="str">
            <v>SÜLEYMANPAŞA</v>
          </cell>
          <cell r="H481" t="str">
            <v>Dağıtım-AG</v>
          </cell>
          <cell r="I481" t="str">
            <v>Uzun</v>
          </cell>
          <cell r="J481" t="str">
            <v>Şebeke işletmecisi</v>
          </cell>
          <cell r="K481" t="str">
            <v>Bildirimsiz</v>
          </cell>
          <cell r="O481">
            <v>0</v>
          </cell>
          <cell r="P481">
            <v>91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12841.61666616099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C482" t="str">
            <v>KIRKLARELİ</v>
          </cell>
          <cell r="D482" t="str">
            <v>LÜLEBURGAZ</v>
          </cell>
          <cell r="H482" t="str">
            <v>Dağıtım-OG</v>
          </cell>
          <cell r="I482" t="str">
            <v>Uzun</v>
          </cell>
          <cell r="J482" t="str">
            <v>Şebeke işletmecisi</v>
          </cell>
          <cell r="K482" t="str">
            <v>Bildirimsiz</v>
          </cell>
          <cell r="O482">
            <v>1</v>
          </cell>
          <cell r="P482">
            <v>0</v>
          </cell>
          <cell r="Q482">
            <v>0</v>
          </cell>
          <cell r="R482">
            <v>0</v>
          </cell>
          <cell r="S482">
            <v>22</v>
          </cell>
          <cell r="T482">
            <v>127</v>
          </cell>
          <cell r="U482">
            <v>141.06666667037643</v>
          </cell>
          <cell r="V482">
            <v>0</v>
          </cell>
          <cell r="W482">
            <v>0</v>
          </cell>
          <cell r="X482">
            <v>0</v>
          </cell>
          <cell r="Y482">
            <v>3103.4666667482816</v>
          </cell>
          <cell r="Z482">
            <v>17915.466667137807</v>
          </cell>
        </row>
        <row r="483">
          <cell r="C483" t="str">
            <v>EDİRNE</v>
          </cell>
          <cell r="D483" t="str">
            <v>ENEZ</v>
          </cell>
          <cell r="H483" t="str">
            <v>Dağıtım-AG</v>
          </cell>
          <cell r="I483" t="str">
            <v>Uzun</v>
          </cell>
          <cell r="J483" t="str">
            <v>Şebeke işletmecisi</v>
          </cell>
          <cell r="K483" t="str">
            <v>Bildirimsiz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27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3807.9000001726672</v>
          </cell>
        </row>
        <row r="484">
          <cell r="C484" t="str">
            <v>EDİRNE</v>
          </cell>
          <cell r="D484" t="str">
            <v>EDİRNEMERKEZ</v>
          </cell>
          <cell r="H484" t="str">
            <v>Dağıtım-AG</v>
          </cell>
          <cell r="I484" t="str">
            <v>Uzun</v>
          </cell>
          <cell r="J484" t="str">
            <v>Şebeke işletmecisi</v>
          </cell>
          <cell r="K484" t="str">
            <v>Bildirimsiz</v>
          </cell>
          <cell r="O484">
            <v>0</v>
          </cell>
          <cell r="P484">
            <v>6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845.9999999916181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C485" t="str">
            <v>EDİRNE</v>
          </cell>
          <cell r="D485" t="str">
            <v>EDİRNEMERKEZ</v>
          </cell>
          <cell r="H485" t="str">
            <v>Dağıtım-OG</v>
          </cell>
          <cell r="I485" t="str">
            <v>Uzun</v>
          </cell>
          <cell r="J485" t="str">
            <v>Şebeke işletmecisi</v>
          </cell>
          <cell r="K485" t="str">
            <v>Bildirimsiz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112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15790.133333913982</v>
          </cell>
        </row>
        <row r="486">
          <cell r="C486" t="str">
            <v>TEKİRDAĞ</v>
          </cell>
          <cell r="D486" t="str">
            <v>MALKARA</v>
          </cell>
          <cell r="H486" t="str">
            <v>Dağıtım-OG</v>
          </cell>
          <cell r="I486" t="str">
            <v>Uzun</v>
          </cell>
          <cell r="J486" t="str">
            <v>Şebeke işletmecisi</v>
          </cell>
          <cell r="K486" t="str">
            <v>Bildirimli</v>
          </cell>
          <cell r="O486">
            <v>9</v>
          </cell>
          <cell r="P486">
            <v>297</v>
          </cell>
          <cell r="Q486">
            <v>6</v>
          </cell>
          <cell r="R486">
            <v>1</v>
          </cell>
          <cell r="S486">
            <v>22</v>
          </cell>
          <cell r="T486">
            <v>4956</v>
          </cell>
          <cell r="U486">
            <v>1266.7499999329448</v>
          </cell>
          <cell r="V486">
            <v>41802.749997787178</v>
          </cell>
          <cell r="W486">
            <v>844.49999995529652</v>
          </cell>
          <cell r="X486">
            <v>140.74999999254942</v>
          </cell>
          <cell r="Y486">
            <v>3096.4999998360872</v>
          </cell>
          <cell r="Z486">
            <v>697556.99996307492</v>
          </cell>
        </row>
        <row r="487">
          <cell r="C487" t="str">
            <v>TEKİRDAĞ</v>
          </cell>
          <cell r="D487" t="str">
            <v>ERGENE</v>
          </cell>
          <cell r="H487" t="str">
            <v>Dağıtım-AG</v>
          </cell>
          <cell r="I487" t="str">
            <v>Uzun</v>
          </cell>
          <cell r="J487" t="str">
            <v>Şebeke işletmecisi</v>
          </cell>
          <cell r="K487" t="str">
            <v>Bildirimsiz</v>
          </cell>
          <cell r="O487">
            <v>0</v>
          </cell>
          <cell r="P487">
            <v>456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63991.99999996461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C488" t="str">
            <v>KIRKLARELİ</v>
          </cell>
          <cell r="D488" t="str">
            <v>VİZE</v>
          </cell>
          <cell r="H488" t="str">
            <v>Dağıtım-AG</v>
          </cell>
          <cell r="I488" t="str">
            <v>Uzun</v>
          </cell>
          <cell r="J488" t="str">
            <v>Şebeke işletmecisi</v>
          </cell>
          <cell r="K488" t="str">
            <v>Bildirimsiz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1119.7333333175629</v>
          </cell>
        </row>
        <row r="489">
          <cell r="C489" t="str">
            <v>TEKİRDAĞ</v>
          </cell>
          <cell r="D489" t="str">
            <v>MARMARAEREĞLİSİ</v>
          </cell>
          <cell r="H489" t="str">
            <v>Dağıtım-AG</v>
          </cell>
          <cell r="I489" t="str">
            <v>Uzun</v>
          </cell>
          <cell r="J489" t="str">
            <v>Şebeke işletmecisi</v>
          </cell>
          <cell r="K489" t="str">
            <v>Bildirimsiz</v>
          </cell>
          <cell r="O489">
            <v>0</v>
          </cell>
          <cell r="P489">
            <v>0</v>
          </cell>
          <cell r="Q489">
            <v>0</v>
          </cell>
          <cell r="R489">
            <v>1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139.89999999292195</v>
          </cell>
          <cell r="Y489">
            <v>0</v>
          </cell>
          <cell r="Z489">
            <v>0</v>
          </cell>
        </row>
        <row r="490">
          <cell r="C490" t="str">
            <v>KIRKLARELİ</v>
          </cell>
          <cell r="D490" t="str">
            <v>KIRKLARELİMERKEZ</v>
          </cell>
          <cell r="H490" t="str">
            <v>Dağıtım-OG</v>
          </cell>
          <cell r="I490" t="str">
            <v>Uzun</v>
          </cell>
          <cell r="J490" t="str">
            <v>Şebeke işletmecisi</v>
          </cell>
          <cell r="K490" t="str">
            <v>Bildirimsiz</v>
          </cell>
          <cell r="O490">
            <v>0</v>
          </cell>
          <cell r="P490">
            <v>0</v>
          </cell>
          <cell r="Q490">
            <v>0</v>
          </cell>
          <cell r="R490">
            <v>76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10628.600000166334</v>
          </cell>
          <cell r="Y490">
            <v>0</v>
          </cell>
          <cell r="Z490">
            <v>0</v>
          </cell>
        </row>
        <row r="491">
          <cell r="C491" t="str">
            <v>EDİRNE</v>
          </cell>
          <cell r="D491" t="str">
            <v>HAVSA</v>
          </cell>
          <cell r="H491" t="str">
            <v>Dağıtım-OG</v>
          </cell>
          <cell r="I491" t="str">
            <v>Uzun</v>
          </cell>
          <cell r="J491" t="str">
            <v>Şebeke işletmecisi</v>
          </cell>
          <cell r="K491" t="str">
            <v>Bildirimsiz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3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419.15000000735745</v>
          </cell>
          <cell r="Z491">
            <v>0</v>
          </cell>
        </row>
        <row r="492">
          <cell r="C492" t="str">
            <v>KIRKLARELİ</v>
          </cell>
          <cell r="D492" t="str">
            <v>VİZE</v>
          </cell>
          <cell r="H492" t="str">
            <v>Dağıtım-OG</v>
          </cell>
          <cell r="I492" t="str">
            <v>Uzun</v>
          </cell>
          <cell r="J492" t="str">
            <v>Şebeke işletmecisi</v>
          </cell>
          <cell r="K492" t="str">
            <v>Bildirimsiz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460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64261.999999335967</v>
          </cell>
        </row>
        <row r="493">
          <cell r="C493" t="str">
            <v>EDİRNE</v>
          </cell>
          <cell r="D493" t="str">
            <v>HAVSA</v>
          </cell>
          <cell r="H493" t="str">
            <v>Dağıtım-OG</v>
          </cell>
          <cell r="I493" t="str">
            <v>Uzun</v>
          </cell>
          <cell r="J493" t="str">
            <v>Şebeke işletmecisi</v>
          </cell>
          <cell r="K493" t="str">
            <v>Bildirimsiz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2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279.3999999971129</v>
          </cell>
          <cell r="Z493">
            <v>0</v>
          </cell>
        </row>
        <row r="494">
          <cell r="C494" t="str">
            <v>EDİRNE</v>
          </cell>
          <cell r="D494" t="str">
            <v>ENEZ</v>
          </cell>
          <cell r="H494" t="str">
            <v>Dağıtım-AG</v>
          </cell>
          <cell r="I494" t="str">
            <v>Uzun</v>
          </cell>
          <cell r="J494" t="str">
            <v>Şebeke işletmecisi</v>
          </cell>
          <cell r="K494" t="str">
            <v>Bildirimsiz</v>
          </cell>
          <cell r="O494">
            <v>0</v>
          </cell>
          <cell r="P494">
            <v>0</v>
          </cell>
          <cell r="Q494">
            <v>0</v>
          </cell>
          <cell r="R494">
            <v>4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558.7999999942258</v>
          </cell>
          <cell r="Y494">
            <v>0</v>
          </cell>
          <cell r="Z494">
            <v>0</v>
          </cell>
        </row>
        <row r="495">
          <cell r="C495" t="str">
            <v>KIRKLARELİ</v>
          </cell>
          <cell r="D495" t="str">
            <v>VİZE</v>
          </cell>
          <cell r="H495" t="str">
            <v>Dağıtım-AG</v>
          </cell>
          <cell r="I495" t="str">
            <v>Uzun</v>
          </cell>
          <cell r="J495" t="str">
            <v>Şebeke işletmecisi</v>
          </cell>
          <cell r="K495" t="str">
            <v>Bildirimsiz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139.61666666669771</v>
          </cell>
          <cell r="Y495">
            <v>0</v>
          </cell>
          <cell r="Z495">
            <v>0</v>
          </cell>
        </row>
        <row r="496">
          <cell r="C496" t="str">
            <v>TEKİRDAĞ</v>
          </cell>
          <cell r="D496" t="str">
            <v>ŞARKÖY</v>
          </cell>
          <cell r="H496" t="str">
            <v>Dağıtım-OG</v>
          </cell>
          <cell r="I496" t="str">
            <v>Uzun</v>
          </cell>
          <cell r="J496" t="str">
            <v>Şebeke işletmecisi</v>
          </cell>
          <cell r="K496" t="str">
            <v>Bildirimli</v>
          </cell>
          <cell r="O496">
            <v>8</v>
          </cell>
          <cell r="P496">
            <v>407</v>
          </cell>
          <cell r="Q496">
            <v>0</v>
          </cell>
          <cell r="R496">
            <v>9</v>
          </cell>
          <cell r="S496">
            <v>1</v>
          </cell>
          <cell r="T496">
            <v>10</v>
          </cell>
          <cell r="U496">
            <v>1116.6666666883975</v>
          </cell>
          <cell r="V496">
            <v>56810.416667772224</v>
          </cell>
          <cell r="W496">
            <v>0</v>
          </cell>
          <cell r="X496">
            <v>1256.2500000244472</v>
          </cell>
          <cell r="Y496">
            <v>139.58333333604969</v>
          </cell>
          <cell r="Z496">
            <v>1395.8333333604969</v>
          </cell>
        </row>
        <row r="497">
          <cell r="C497" t="str">
            <v>EDİRNE</v>
          </cell>
          <cell r="D497" t="str">
            <v>EDİRNEMERKEZ</v>
          </cell>
          <cell r="H497" t="str">
            <v>Dağıtım-OG</v>
          </cell>
          <cell r="I497" t="str">
            <v>Uzun</v>
          </cell>
          <cell r="J497" t="str">
            <v>Şebeke işletmecisi</v>
          </cell>
          <cell r="K497" t="str">
            <v>Bildirimsiz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</v>
          </cell>
          <cell r="T497">
            <v>111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139.55000000540167</v>
          </cell>
          <cell r="Z497">
            <v>15490.050000599585</v>
          </cell>
        </row>
        <row r="498">
          <cell r="C498" t="str">
            <v>TEKİRDAĞ</v>
          </cell>
          <cell r="D498" t="str">
            <v>ÇORLU</v>
          </cell>
          <cell r="H498" t="str">
            <v>Dağıtım-AG</v>
          </cell>
          <cell r="I498" t="str">
            <v>Uzun</v>
          </cell>
          <cell r="J498" t="str">
            <v>Şebeke işletmecisi</v>
          </cell>
          <cell r="K498" t="str">
            <v>Bildirimsiz</v>
          </cell>
          <cell r="O498">
            <v>0</v>
          </cell>
          <cell r="P498">
            <v>5</v>
          </cell>
          <cell r="Q498">
            <v>0</v>
          </cell>
          <cell r="R498">
            <v>0</v>
          </cell>
          <cell r="S498">
            <v>0</v>
          </cell>
          <cell r="T498">
            <v>77</v>
          </cell>
          <cell r="U498">
            <v>0</v>
          </cell>
          <cell r="V498">
            <v>696.83333335560746</v>
          </cell>
          <cell r="W498">
            <v>0</v>
          </cell>
          <cell r="X498">
            <v>0</v>
          </cell>
          <cell r="Y498">
            <v>0</v>
          </cell>
          <cell r="Z498">
            <v>10731.233333676355</v>
          </cell>
        </row>
        <row r="499">
          <cell r="C499" t="str">
            <v>TEKİRDAĞ</v>
          </cell>
          <cell r="D499" t="str">
            <v>SÜLEYMANPAŞA</v>
          </cell>
          <cell r="H499" t="str">
            <v>Dağıtım-AG</v>
          </cell>
          <cell r="I499" t="str">
            <v>Uzun</v>
          </cell>
          <cell r="J499" t="str">
            <v>Şebeke işletmecisi</v>
          </cell>
          <cell r="K499" t="str">
            <v>Bildirimsiz</v>
          </cell>
          <cell r="O499">
            <v>0</v>
          </cell>
          <cell r="P499">
            <v>62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8636.5999999595806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C500" t="str">
            <v>EDİRNE</v>
          </cell>
          <cell r="D500" t="str">
            <v>KEŞAN</v>
          </cell>
          <cell r="H500" t="str">
            <v>Dağıtım-AG</v>
          </cell>
          <cell r="I500" t="str">
            <v>Uzun</v>
          </cell>
          <cell r="J500" t="str">
            <v>Şebeke işletmecisi</v>
          </cell>
          <cell r="K500" t="str">
            <v>Bildirimli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145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20183.999999554362</v>
          </cell>
        </row>
        <row r="501">
          <cell r="C501" t="str">
            <v>EDİRNE</v>
          </cell>
          <cell r="D501" t="str">
            <v>KEŞAN</v>
          </cell>
          <cell r="H501" t="str">
            <v>Dağıtım-AG</v>
          </cell>
          <cell r="I501" t="str">
            <v>Uzun</v>
          </cell>
          <cell r="J501" t="str">
            <v>Şebeke işletmecisi</v>
          </cell>
          <cell r="K501" t="str">
            <v>Bildirimsiz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3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417.09999999962747</v>
          </cell>
        </row>
        <row r="502">
          <cell r="C502" t="str">
            <v>EDİRNE</v>
          </cell>
          <cell r="D502" t="str">
            <v>İPSALA</v>
          </cell>
          <cell r="H502" t="str">
            <v>Dağıtım-OG</v>
          </cell>
          <cell r="I502" t="str">
            <v>Uzun</v>
          </cell>
          <cell r="J502" t="str">
            <v>Şebeke işletmecisi</v>
          </cell>
          <cell r="K502" t="str">
            <v>Bildirimsiz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163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22635.266665419331</v>
          </cell>
        </row>
        <row r="503">
          <cell r="C503" t="str">
            <v>TEKİRDAĞ</v>
          </cell>
          <cell r="D503" t="str">
            <v>SÜLEYMANPAŞA</v>
          </cell>
          <cell r="H503" t="str">
            <v>Dağıtım-AG</v>
          </cell>
          <cell r="I503" t="str">
            <v>Uzun</v>
          </cell>
          <cell r="J503" t="str">
            <v>Şebeke işletmecisi</v>
          </cell>
          <cell r="K503" t="str">
            <v>Bildirimsiz</v>
          </cell>
          <cell r="O503">
            <v>0</v>
          </cell>
          <cell r="P503">
            <v>34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4711.8333333148621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</row>
        <row r="504">
          <cell r="C504" t="str">
            <v>KIRKLARELİ</v>
          </cell>
          <cell r="D504" t="str">
            <v>VİZE</v>
          </cell>
          <cell r="H504" t="str">
            <v>Dağıtım-OG</v>
          </cell>
          <cell r="I504" t="str">
            <v>Uzun</v>
          </cell>
          <cell r="J504" t="str">
            <v>Şebeke işletmecisi</v>
          </cell>
          <cell r="K504" t="str">
            <v>Bildirimsiz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13</v>
          </cell>
          <cell r="T504">
            <v>189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1794.866666723974</v>
          </cell>
          <cell r="Z504">
            <v>26094.600000833161</v>
          </cell>
        </row>
        <row r="505">
          <cell r="C505" t="str">
            <v>TEKİRDAĞ</v>
          </cell>
          <cell r="D505" t="str">
            <v>ÇORLU</v>
          </cell>
          <cell r="H505" t="str">
            <v>Dağıtım-OG</v>
          </cell>
          <cell r="I505" t="str">
            <v>Uzun</v>
          </cell>
          <cell r="J505" t="str">
            <v>Şebeke işletmecisi</v>
          </cell>
          <cell r="K505" t="str">
            <v>Bildirimli</v>
          </cell>
          <cell r="O505">
            <v>17</v>
          </cell>
          <cell r="P505">
            <v>1127</v>
          </cell>
          <cell r="Q505">
            <v>0</v>
          </cell>
          <cell r="R505">
            <v>0</v>
          </cell>
          <cell r="S505">
            <v>0</v>
          </cell>
          <cell r="T505">
            <v>1</v>
          </cell>
          <cell r="U505">
            <v>2341.1833332641982</v>
          </cell>
          <cell r="V505">
            <v>155206.68332875008</v>
          </cell>
          <cell r="W505">
            <v>0</v>
          </cell>
          <cell r="X505">
            <v>0</v>
          </cell>
          <cell r="Y505">
            <v>0</v>
          </cell>
          <cell r="Z505">
            <v>137.71666666259989</v>
          </cell>
        </row>
        <row r="506">
          <cell r="C506" t="str">
            <v>TEKİRDAĞ</v>
          </cell>
          <cell r="D506" t="str">
            <v>ÇORLU</v>
          </cell>
          <cell r="H506" t="str">
            <v>Dağıtım-OG</v>
          </cell>
          <cell r="I506" t="str">
            <v>Uzun</v>
          </cell>
          <cell r="J506" t="str">
            <v>Şebeke işletmecisi</v>
          </cell>
          <cell r="K506" t="str">
            <v>Bildirimli</v>
          </cell>
          <cell r="O506">
            <v>14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1928.0333332763985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</row>
        <row r="507">
          <cell r="C507" t="str">
            <v>EDİRNE</v>
          </cell>
          <cell r="D507" t="str">
            <v>MERİÇ</v>
          </cell>
          <cell r="H507" t="str">
            <v>Dağıtım-OG</v>
          </cell>
          <cell r="I507" t="str">
            <v>Uzun</v>
          </cell>
          <cell r="J507" t="str">
            <v>Şebeke işletmecisi</v>
          </cell>
          <cell r="K507" t="str">
            <v>Bildirimsiz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13</v>
          </cell>
          <cell r="T507">
            <v>766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1788.3666667027865</v>
          </cell>
          <cell r="Z507">
            <v>105376.06666879496</v>
          </cell>
        </row>
        <row r="508">
          <cell r="C508" t="str">
            <v>EDİRNE</v>
          </cell>
          <cell r="D508" t="str">
            <v>EDİRNEMERKEZ</v>
          </cell>
          <cell r="H508" t="str">
            <v>Dağıtım-OG</v>
          </cell>
          <cell r="I508" t="str">
            <v>Uzun</v>
          </cell>
          <cell r="J508" t="str">
            <v>Şebeke işletmecisi</v>
          </cell>
          <cell r="K508" t="str">
            <v>Bildirimli</v>
          </cell>
          <cell r="O508">
            <v>7</v>
          </cell>
          <cell r="P508">
            <v>717</v>
          </cell>
          <cell r="Q508">
            <v>0</v>
          </cell>
          <cell r="R508">
            <v>0</v>
          </cell>
          <cell r="S508">
            <v>3</v>
          </cell>
          <cell r="T508">
            <v>102</v>
          </cell>
          <cell r="U508">
            <v>962.73333337157965</v>
          </cell>
          <cell r="V508">
            <v>98611.400003917515</v>
          </cell>
          <cell r="W508">
            <v>0</v>
          </cell>
          <cell r="X508">
            <v>0</v>
          </cell>
          <cell r="Y508">
            <v>412.60000001639128</v>
          </cell>
          <cell r="Z508">
            <v>14028.400000557303</v>
          </cell>
        </row>
        <row r="509">
          <cell r="C509" t="str">
            <v>TEKİRDAĞ</v>
          </cell>
          <cell r="D509" t="str">
            <v>HAYRABOLU</v>
          </cell>
          <cell r="H509" t="str">
            <v>Dağıtım-AG</v>
          </cell>
          <cell r="I509" t="str">
            <v>Uzun</v>
          </cell>
          <cell r="J509" t="str">
            <v>Şebeke işletmecisi</v>
          </cell>
          <cell r="K509" t="str">
            <v>Bildirimli</v>
          </cell>
          <cell r="O509">
            <v>0</v>
          </cell>
          <cell r="P509">
            <v>0</v>
          </cell>
          <cell r="Q509">
            <v>0</v>
          </cell>
          <cell r="R509">
            <v>126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17320.800000044983</v>
          </cell>
          <cell r="Y509">
            <v>0</v>
          </cell>
          <cell r="Z509">
            <v>0</v>
          </cell>
        </row>
        <row r="510">
          <cell r="C510" t="str">
            <v>EDİRNE</v>
          </cell>
          <cell r="D510" t="str">
            <v>İPSALA</v>
          </cell>
          <cell r="H510" t="str">
            <v>Dağıtım-OG</v>
          </cell>
          <cell r="I510" t="str">
            <v>Uzun</v>
          </cell>
          <cell r="J510" t="str">
            <v>Şebeke işletmecisi</v>
          </cell>
          <cell r="K510" t="str">
            <v>Bildirimsiz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2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273.16666665254161</v>
          </cell>
          <cell r="Z510">
            <v>0</v>
          </cell>
        </row>
        <row r="511">
          <cell r="C511" t="str">
            <v>KIRKLARELİ</v>
          </cell>
          <cell r="D511" t="str">
            <v>VİZE</v>
          </cell>
          <cell r="H511" t="str">
            <v>Dağıtım-AG</v>
          </cell>
          <cell r="I511" t="str">
            <v>Uzun</v>
          </cell>
          <cell r="J511" t="str">
            <v>Şebeke işletmecisi</v>
          </cell>
          <cell r="K511" t="str">
            <v>Bildirimsiz</v>
          </cell>
          <cell r="O511">
            <v>0</v>
          </cell>
          <cell r="P511">
            <v>0</v>
          </cell>
          <cell r="Q511">
            <v>0</v>
          </cell>
          <cell r="R511">
            <v>44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6008.1999998074025</v>
          </cell>
          <cell r="Y511">
            <v>0</v>
          </cell>
          <cell r="Z511">
            <v>0</v>
          </cell>
        </row>
        <row r="512">
          <cell r="C512" t="str">
            <v>TEKİRDAĞ</v>
          </cell>
          <cell r="D512" t="str">
            <v>ÇERKEZKÖY</v>
          </cell>
          <cell r="H512" t="str">
            <v>Dağıtım-OG</v>
          </cell>
          <cell r="I512" t="str">
            <v>Uzun</v>
          </cell>
          <cell r="J512" t="str">
            <v>Şebeke işletmecisi</v>
          </cell>
          <cell r="K512" t="str">
            <v>Bildirimli</v>
          </cell>
          <cell r="O512">
            <v>0</v>
          </cell>
          <cell r="P512">
            <v>3157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428457.51666632365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</row>
        <row r="513">
          <cell r="C513" t="str">
            <v>KIRKLARELİ</v>
          </cell>
          <cell r="D513" t="str">
            <v>VİZE</v>
          </cell>
          <cell r="H513" t="str">
            <v>Dağıtım-OG</v>
          </cell>
          <cell r="I513" t="str">
            <v>Uzun</v>
          </cell>
          <cell r="J513" t="str">
            <v>Şebeke işletmecisi</v>
          </cell>
          <cell r="K513" t="str">
            <v>Bildirimsiz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459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62263.349997606128</v>
          </cell>
        </row>
        <row r="514">
          <cell r="C514" t="str">
            <v>TEKİRDAĞ</v>
          </cell>
          <cell r="D514" t="str">
            <v>SÜLEYMANPAŞA</v>
          </cell>
          <cell r="H514" t="str">
            <v>Dağıtım-AG</v>
          </cell>
          <cell r="I514" t="str">
            <v>Uzun</v>
          </cell>
          <cell r="J514" t="str">
            <v>Dışsal</v>
          </cell>
          <cell r="K514" t="str">
            <v>Bildirimsiz</v>
          </cell>
          <cell r="O514">
            <v>0</v>
          </cell>
          <cell r="P514">
            <v>77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10441.199999505188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</row>
        <row r="515">
          <cell r="C515" t="str">
            <v>TEKİRDAĞ</v>
          </cell>
          <cell r="D515" t="str">
            <v>MARMARAEREĞLİSİ</v>
          </cell>
          <cell r="H515" t="str">
            <v>Dağıtım-AG</v>
          </cell>
          <cell r="I515" t="str">
            <v>Uzun</v>
          </cell>
          <cell r="J515" t="str">
            <v>Şebeke işletmecisi</v>
          </cell>
          <cell r="K515" t="str">
            <v>Bildirimsiz</v>
          </cell>
          <cell r="O515">
            <v>0</v>
          </cell>
          <cell r="P515">
            <v>4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542.33333333395422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</row>
        <row r="516">
          <cell r="C516" t="str">
            <v>KIRKLARELİ</v>
          </cell>
          <cell r="D516" t="str">
            <v>LÜLEBURGAZ</v>
          </cell>
          <cell r="H516" t="str">
            <v>Dağıtım-AG</v>
          </cell>
          <cell r="I516" t="str">
            <v>Uzun</v>
          </cell>
          <cell r="J516" t="str">
            <v>Şebeke işletmecisi</v>
          </cell>
          <cell r="K516" t="str">
            <v>Bildirimsiz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71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9602.7499996859115</v>
          </cell>
        </row>
        <row r="517">
          <cell r="C517" t="str">
            <v>TEKİRDAĞ</v>
          </cell>
          <cell r="D517" t="str">
            <v>ÇORLU</v>
          </cell>
          <cell r="H517" t="str">
            <v>Dağıtım-OG</v>
          </cell>
          <cell r="I517" t="str">
            <v>Uzun</v>
          </cell>
          <cell r="J517" t="str">
            <v>Şebeke işletmecisi</v>
          </cell>
          <cell r="K517" t="str">
            <v>Bildirimli</v>
          </cell>
          <cell r="O517">
            <v>102</v>
          </cell>
          <cell r="P517">
            <v>399</v>
          </cell>
          <cell r="Q517">
            <v>0</v>
          </cell>
          <cell r="R517">
            <v>0</v>
          </cell>
          <cell r="S517">
            <v>7</v>
          </cell>
          <cell r="T517">
            <v>324</v>
          </cell>
          <cell r="U517">
            <v>13751.300000972115</v>
          </cell>
          <cell r="V517">
            <v>53791.850003802683</v>
          </cell>
          <cell r="W517">
            <v>0</v>
          </cell>
          <cell r="X517">
            <v>0</v>
          </cell>
          <cell r="Y517">
            <v>943.71666673338041</v>
          </cell>
          <cell r="Z517">
            <v>43680.600003087893</v>
          </cell>
        </row>
        <row r="518">
          <cell r="C518" t="str">
            <v>TEKİRDAĞ</v>
          </cell>
          <cell r="D518" t="str">
            <v>ÇORLU</v>
          </cell>
          <cell r="H518" t="str">
            <v>Dağıtım-OG</v>
          </cell>
          <cell r="I518" t="str">
            <v>Uzun</v>
          </cell>
          <cell r="J518" t="str">
            <v>Şebeke işletmecisi</v>
          </cell>
          <cell r="K518" t="str">
            <v>Bildirimli</v>
          </cell>
          <cell r="O518">
            <v>102</v>
          </cell>
          <cell r="P518">
            <v>399</v>
          </cell>
          <cell r="Q518">
            <v>0</v>
          </cell>
          <cell r="R518">
            <v>0</v>
          </cell>
          <cell r="S518">
            <v>7</v>
          </cell>
          <cell r="T518">
            <v>324</v>
          </cell>
          <cell r="U518">
            <v>13751.300000972115</v>
          </cell>
          <cell r="V518">
            <v>53791.850003802683</v>
          </cell>
          <cell r="W518">
            <v>0</v>
          </cell>
          <cell r="X518">
            <v>0</v>
          </cell>
          <cell r="Y518">
            <v>943.71666673338041</v>
          </cell>
          <cell r="Z518">
            <v>43680.600003087893</v>
          </cell>
        </row>
        <row r="519">
          <cell r="C519" t="str">
            <v>KIRKLARELİ</v>
          </cell>
          <cell r="D519" t="str">
            <v>BABAESKİ</v>
          </cell>
          <cell r="H519" t="str">
            <v>Dağıtım-AG</v>
          </cell>
          <cell r="I519" t="str">
            <v>Uzun</v>
          </cell>
          <cell r="J519" t="str">
            <v>Şebeke işletmecisi</v>
          </cell>
          <cell r="K519" t="str">
            <v>Bildirimsiz</v>
          </cell>
          <cell r="O519">
            <v>0</v>
          </cell>
          <cell r="P519">
            <v>0</v>
          </cell>
          <cell r="Q519">
            <v>0</v>
          </cell>
          <cell r="R519">
            <v>1</v>
          </cell>
          <cell r="S519">
            <v>0</v>
          </cell>
          <cell r="T519">
            <v>46</v>
          </cell>
          <cell r="U519">
            <v>0</v>
          </cell>
          <cell r="V519">
            <v>0</v>
          </cell>
          <cell r="W519">
            <v>0</v>
          </cell>
          <cell r="X519">
            <v>134.81666666571982</v>
          </cell>
          <cell r="Y519">
            <v>0</v>
          </cell>
          <cell r="Z519">
            <v>6201.5666666231118</v>
          </cell>
        </row>
        <row r="520">
          <cell r="C520" t="str">
            <v>EDİRNE</v>
          </cell>
          <cell r="D520" t="str">
            <v>UZUNKÖPRÜ</v>
          </cell>
          <cell r="H520" t="str">
            <v>Dağıtım-OG</v>
          </cell>
          <cell r="I520" t="str">
            <v>Uzun</v>
          </cell>
          <cell r="J520" t="str">
            <v>Şebeke işletmecisi</v>
          </cell>
          <cell r="K520" t="str">
            <v>Bildirimsiz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4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538.53333332575858</v>
          </cell>
          <cell r="Z520">
            <v>0</v>
          </cell>
        </row>
        <row r="521">
          <cell r="C521" t="str">
            <v>KIRKLARELİ</v>
          </cell>
          <cell r="D521" t="str">
            <v>KOFÇAZ</v>
          </cell>
          <cell r="H521" t="str">
            <v>Dağıtım-AG</v>
          </cell>
          <cell r="I521" t="str">
            <v>Uzun</v>
          </cell>
          <cell r="J521" t="str">
            <v>Şebeke işletmecisi</v>
          </cell>
          <cell r="K521" t="str">
            <v>Bildirimsiz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2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268.50000000558794</v>
          </cell>
        </row>
        <row r="522">
          <cell r="C522" t="str">
            <v>KIRKLARELİ</v>
          </cell>
          <cell r="D522" t="str">
            <v>KIRKLARELİMERKEZ</v>
          </cell>
          <cell r="H522" t="str">
            <v>Dağıtım-OG</v>
          </cell>
          <cell r="I522" t="str">
            <v>Uzun</v>
          </cell>
          <cell r="J522" t="str">
            <v>Şebeke işletmecisi</v>
          </cell>
          <cell r="K522" t="str">
            <v>Bildirimsiz</v>
          </cell>
          <cell r="O522">
            <v>0</v>
          </cell>
          <cell r="P522">
            <v>0</v>
          </cell>
          <cell r="Q522">
            <v>5</v>
          </cell>
          <cell r="R522">
            <v>0</v>
          </cell>
          <cell r="S522">
            <v>9</v>
          </cell>
          <cell r="T522">
            <v>668</v>
          </cell>
          <cell r="U522">
            <v>0</v>
          </cell>
          <cell r="V522">
            <v>0</v>
          </cell>
          <cell r="W522">
            <v>668.75000000582077</v>
          </cell>
          <cell r="X522">
            <v>0</v>
          </cell>
          <cell r="Y522">
            <v>1203.7500000104774</v>
          </cell>
          <cell r="Z522">
            <v>89345.000000777654</v>
          </cell>
        </row>
        <row r="523">
          <cell r="C523" t="str">
            <v>EDİRNE</v>
          </cell>
          <cell r="D523" t="str">
            <v>UZUNKÖPRÜ</v>
          </cell>
          <cell r="H523" t="str">
            <v>Dağıtım-AG</v>
          </cell>
          <cell r="I523" t="str">
            <v>Uzun</v>
          </cell>
          <cell r="J523" t="str">
            <v>Şebeke işletmecisi</v>
          </cell>
          <cell r="K523" t="str">
            <v>Bildirimsiz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3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401.25000000349246</v>
          </cell>
        </row>
        <row r="524">
          <cell r="C524" t="str">
            <v>EDİRNE</v>
          </cell>
          <cell r="D524" t="str">
            <v>KEŞAN</v>
          </cell>
          <cell r="H524" t="str">
            <v>Dağıtım-AG</v>
          </cell>
          <cell r="I524" t="str">
            <v>Uzun</v>
          </cell>
          <cell r="J524" t="str">
            <v>Şebeke işletmecisi</v>
          </cell>
          <cell r="K524" t="str">
            <v>Bildirimsiz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3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399.84999999054708</v>
          </cell>
        </row>
        <row r="525">
          <cell r="C525" t="str">
            <v>EDİRNE</v>
          </cell>
          <cell r="D525" t="str">
            <v>ENEZ</v>
          </cell>
          <cell r="H525" t="str">
            <v>Dağıtım-AG</v>
          </cell>
          <cell r="I525" t="str">
            <v>Uzun</v>
          </cell>
          <cell r="J525" t="str">
            <v>Şebeke işletmecisi</v>
          </cell>
          <cell r="K525" t="str">
            <v>Bildirimsiz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3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399.15000001550652</v>
          </cell>
        </row>
        <row r="526">
          <cell r="C526" t="str">
            <v>TEKİRDAĞ</v>
          </cell>
          <cell r="D526" t="str">
            <v>SÜLEYMANPAŞA</v>
          </cell>
          <cell r="H526" t="str">
            <v>Dağıtım-AG</v>
          </cell>
          <cell r="I526" t="str">
            <v>Uzun</v>
          </cell>
          <cell r="J526" t="str">
            <v>Şebeke işletmecisi</v>
          </cell>
          <cell r="K526" t="str">
            <v>Bildirimsiz</v>
          </cell>
          <cell r="O526">
            <v>0</v>
          </cell>
          <cell r="P526">
            <v>30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3987.0000000461005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</row>
        <row r="527">
          <cell r="C527" t="str">
            <v>KIRKLARELİ</v>
          </cell>
          <cell r="D527" t="str">
            <v>LÜLEBURGAZ</v>
          </cell>
          <cell r="H527" t="str">
            <v>Dağıtım-AG</v>
          </cell>
          <cell r="I527" t="str">
            <v>Uzun</v>
          </cell>
          <cell r="J527" t="str">
            <v>Şebeke işletmecisi</v>
          </cell>
          <cell r="K527" t="str">
            <v>Bildirimsiz</v>
          </cell>
          <cell r="O527">
            <v>0</v>
          </cell>
          <cell r="P527">
            <v>238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31527.066665366292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</row>
        <row r="528">
          <cell r="C528" t="str">
            <v>KIRKLARELİ</v>
          </cell>
          <cell r="D528" t="str">
            <v>VİZE</v>
          </cell>
          <cell r="H528" t="str">
            <v>Dağıtım-AG</v>
          </cell>
          <cell r="I528" t="str">
            <v>Uzun</v>
          </cell>
          <cell r="J528" t="str">
            <v>Şebeke işletmecisi</v>
          </cell>
          <cell r="K528" t="str">
            <v>Bildirimsiz</v>
          </cell>
          <cell r="O528">
            <v>0</v>
          </cell>
          <cell r="P528">
            <v>0</v>
          </cell>
          <cell r="Q528">
            <v>0</v>
          </cell>
          <cell r="R528">
            <v>54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7141.4999997988343</v>
          </cell>
          <cell r="Y528">
            <v>0</v>
          </cell>
          <cell r="Z528">
            <v>0</v>
          </cell>
        </row>
        <row r="529">
          <cell r="C529" t="str">
            <v>TEKİRDAĞ</v>
          </cell>
          <cell r="D529" t="str">
            <v>MARMARAEREĞLİSİ</v>
          </cell>
          <cell r="H529" t="str">
            <v>Dağıtım-AG</v>
          </cell>
          <cell r="I529" t="str">
            <v>Uzun</v>
          </cell>
          <cell r="J529" t="str">
            <v>Şebeke işletmecisi</v>
          </cell>
          <cell r="K529" t="str">
            <v>Bildirimsiz</v>
          </cell>
          <cell r="O529">
            <v>0</v>
          </cell>
          <cell r="P529">
            <v>68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8980.5333337280899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C530" t="str">
            <v>TEKİRDAĞ</v>
          </cell>
          <cell r="D530" t="str">
            <v>MARMARAEREĞLİSİ</v>
          </cell>
          <cell r="H530" t="str">
            <v>Dağıtım-AG</v>
          </cell>
          <cell r="I530" t="str">
            <v>Uzun</v>
          </cell>
          <cell r="J530" t="str">
            <v>Şebeke işletmecisi</v>
          </cell>
          <cell r="K530" t="str">
            <v>Bildirimsiz</v>
          </cell>
          <cell r="O530">
            <v>0</v>
          </cell>
          <cell r="P530">
            <v>40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5279.3333336245269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1">
          <cell r="C531" t="str">
            <v>TEKİRDAĞ</v>
          </cell>
          <cell r="D531" t="str">
            <v>MARMARAEREĞLİSİ</v>
          </cell>
          <cell r="H531" t="str">
            <v>Dağıtım-AG</v>
          </cell>
          <cell r="I531" t="str">
            <v>Uzun</v>
          </cell>
          <cell r="J531" t="str">
            <v>Şebeke işletmecisi</v>
          </cell>
          <cell r="K531" t="str">
            <v>Bildirimsiz</v>
          </cell>
          <cell r="O531">
            <v>0</v>
          </cell>
          <cell r="P531">
            <v>3</v>
          </cell>
          <cell r="Q531">
            <v>0</v>
          </cell>
          <cell r="R531">
            <v>62</v>
          </cell>
          <cell r="S531">
            <v>0</v>
          </cell>
          <cell r="T531">
            <v>0</v>
          </cell>
          <cell r="U531">
            <v>0</v>
          </cell>
          <cell r="V531">
            <v>395.549999991199</v>
          </cell>
          <cell r="W531">
            <v>0</v>
          </cell>
          <cell r="X531">
            <v>8174.6999998181127</v>
          </cell>
          <cell r="Y531">
            <v>0</v>
          </cell>
          <cell r="Z531">
            <v>0</v>
          </cell>
        </row>
        <row r="532">
          <cell r="C532" t="str">
            <v>KIRKLARELİ</v>
          </cell>
          <cell r="D532" t="str">
            <v>LÜLEBURGAZ</v>
          </cell>
          <cell r="H532" t="str">
            <v>Dağıtım-AG</v>
          </cell>
          <cell r="I532" t="str">
            <v>Uzun</v>
          </cell>
          <cell r="J532" t="str">
            <v>Şebeke işletmecisi</v>
          </cell>
          <cell r="K532" t="str">
            <v>Bildirimsiz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28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3689.9333334015682</v>
          </cell>
        </row>
        <row r="533">
          <cell r="C533" t="str">
            <v>TEKİRDAĞ</v>
          </cell>
          <cell r="D533" t="str">
            <v>SARAY</v>
          </cell>
          <cell r="H533" t="str">
            <v>Dağıtım-AG</v>
          </cell>
          <cell r="I533" t="str">
            <v>Uzun</v>
          </cell>
          <cell r="J533" t="str">
            <v>Şebeke işletmecisi</v>
          </cell>
          <cell r="K533" t="str">
            <v>Bildirimli</v>
          </cell>
          <cell r="O533">
            <v>0</v>
          </cell>
          <cell r="P533">
            <v>0</v>
          </cell>
          <cell r="Q533">
            <v>0</v>
          </cell>
          <cell r="R533">
            <v>121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15927.633333188714</v>
          </cell>
          <cell r="Y533">
            <v>0</v>
          </cell>
          <cell r="Z533">
            <v>0</v>
          </cell>
        </row>
        <row r="534">
          <cell r="C534" t="str">
            <v>KIRKLARELİ</v>
          </cell>
          <cell r="D534" t="str">
            <v>KIRKLARELİMERKEZ</v>
          </cell>
          <cell r="H534" t="str">
            <v>Dağıtım-AG</v>
          </cell>
          <cell r="I534" t="str">
            <v>Uzun</v>
          </cell>
          <cell r="J534" t="str">
            <v>Şebeke işletmecisi</v>
          </cell>
          <cell r="K534" t="str">
            <v>Bildirimsiz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81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10647.449999826495</v>
          </cell>
        </row>
        <row r="535">
          <cell r="C535" t="str">
            <v>TEKİRDAĞ</v>
          </cell>
          <cell r="D535" t="str">
            <v>MARMARAEREĞLİSİ</v>
          </cell>
          <cell r="H535" t="str">
            <v>Dağıtım-OG</v>
          </cell>
          <cell r="I535" t="str">
            <v>Uzun</v>
          </cell>
          <cell r="J535" t="str">
            <v>Şebeke işletmecisi</v>
          </cell>
          <cell r="K535" t="str">
            <v>Bildirimli</v>
          </cell>
          <cell r="O535">
            <v>0</v>
          </cell>
          <cell r="P535">
            <v>1683</v>
          </cell>
          <cell r="Q535">
            <v>0</v>
          </cell>
          <cell r="R535">
            <v>3</v>
          </cell>
          <cell r="S535">
            <v>0</v>
          </cell>
          <cell r="T535">
            <v>0</v>
          </cell>
          <cell r="U535">
            <v>0</v>
          </cell>
          <cell r="V535">
            <v>221118.14998780028</v>
          </cell>
          <cell r="W535">
            <v>0</v>
          </cell>
          <cell r="X535">
            <v>394.14999997825362</v>
          </cell>
          <cell r="Y535">
            <v>0</v>
          </cell>
          <cell r="Z535">
            <v>0</v>
          </cell>
        </row>
        <row r="536">
          <cell r="C536" t="str">
            <v>TEKİRDAĞ</v>
          </cell>
          <cell r="D536" t="str">
            <v>SÜLEYMANPAŞA</v>
          </cell>
          <cell r="H536" t="str">
            <v>Dağıtım-AG</v>
          </cell>
          <cell r="I536" t="str">
            <v>Uzun</v>
          </cell>
          <cell r="J536" t="str">
            <v>Şebeke işletmecisi</v>
          </cell>
          <cell r="K536" t="str">
            <v>Bildirimsiz</v>
          </cell>
          <cell r="O536">
            <v>0</v>
          </cell>
          <cell r="P536">
            <v>3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393.64999998710118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</row>
        <row r="537">
          <cell r="C537" t="str">
            <v>TEKİRDAĞ</v>
          </cell>
          <cell r="D537" t="str">
            <v>ERGENE</v>
          </cell>
          <cell r="H537" t="str">
            <v>Dağıtım-AG</v>
          </cell>
          <cell r="I537" t="str">
            <v>Uzun</v>
          </cell>
          <cell r="J537" t="str">
            <v>Şebeke işletmecisi</v>
          </cell>
          <cell r="K537" t="str">
            <v>Bildirimsiz</v>
          </cell>
          <cell r="O537">
            <v>0</v>
          </cell>
          <cell r="P537">
            <v>60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7865.9999999916181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</row>
        <row r="538">
          <cell r="C538" t="str">
            <v>EDİRNE</v>
          </cell>
          <cell r="D538" t="str">
            <v>KEŞAN</v>
          </cell>
          <cell r="H538" t="str">
            <v>Dağıtım-AG</v>
          </cell>
          <cell r="I538" t="str">
            <v>Uzun</v>
          </cell>
          <cell r="J538" t="str">
            <v>Şebeke işletmecisi</v>
          </cell>
          <cell r="K538" t="str">
            <v>Bildirimsiz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80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10474.666666891426</v>
          </cell>
        </row>
        <row r="539">
          <cell r="C539" t="str">
            <v>KIRKLARELİ</v>
          </cell>
          <cell r="D539" t="str">
            <v>BABAESKİ</v>
          </cell>
          <cell r="H539" t="str">
            <v>Dağıtım-OG</v>
          </cell>
          <cell r="I539" t="str">
            <v>Uzun</v>
          </cell>
          <cell r="J539" t="str">
            <v>Şebeke işletmecisi</v>
          </cell>
          <cell r="K539" t="str">
            <v>Bildirimli</v>
          </cell>
          <cell r="O539">
            <v>1</v>
          </cell>
          <cell r="P539">
            <v>1</v>
          </cell>
          <cell r="Q539">
            <v>3</v>
          </cell>
          <cell r="R539">
            <v>1376</v>
          </cell>
          <cell r="S539">
            <v>38</v>
          </cell>
          <cell r="T539">
            <v>2779</v>
          </cell>
          <cell r="U539">
            <v>130.89999999501742</v>
          </cell>
          <cell r="V539">
            <v>130.89999999501742</v>
          </cell>
          <cell r="W539">
            <v>392.69999998505227</v>
          </cell>
          <cell r="X539">
            <v>180118.39999314398</v>
          </cell>
          <cell r="Y539">
            <v>4974.1999998106621</v>
          </cell>
          <cell r="Z539">
            <v>363771.09998615342</v>
          </cell>
        </row>
        <row r="540">
          <cell r="C540" t="str">
            <v>KIRKLARELİ</v>
          </cell>
          <cell r="D540" t="str">
            <v>VİZE</v>
          </cell>
          <cell r="H540" t="str">
            <v>Dağıtım-AG</v>
          </cell>
          <cell r="I540" t="str">
            <v>Uzun</v>
          </cell>
          <cell r="J540" t="str">
            <v>Şebeke işletmecisi</v>
          </cell>
          <cell r="K540" t="str">
            <v>Bildirimsiz</v>
          </cell>
          <cell r="O540">
            <v>0</v>
          </cell>
          <cell r="P540">
            <v>0</v>
          </cell>
          <cell r="Q540">
            <v>0</v>
          </cell>
          <cell r="R540">
            <v>54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7060.5000001005828</v>
          </cell>
          <cell r="Y540">
            <v>0</v>
          </cell>
          <cell r="Z540">
            <v>0</v>
          </cell>
        </row>
        <row r="541">
          <cell r="C541" t="str">
            <v>EDİRNE</v>
          </cell>
          <cell r="D541" t="str">
            <v>İPSALA</v>
          </cell>
          <cell r="H541" t="str">
            <v>Dağıtım-OG</v>
          </cell>
          <cell r="I541" t="str">
            <v>Uzun</v>
          </cell>
          <cell r="J541" t="str">
            <v>Şebeke işletmecisi</v>
          </cell>
          <cell r="K541" t="str">
            <v>Bildirimsiz</v>
          </cell>
          <cell r="O541">
            <v>0</v>
          </cell>
          <cell r="P541">
            <v>1</v>
          </cell>
          <cell r="Q541">
            <v>0</v>
          </cell>
          <cell r="R541">
            <v>0</v>
          </cell>
          <cell r="S541">
            <v>0</v>
          </cell>
          <cell r="T541">
            <v>374</v>
          </cell>
          <cell r="U541">
            <v>0</v>
          </cell>
          <cell r="V541">
            <v>130.73333334177732</v>
          </cell>
          <cell r="W541">
            <v>0</v>
          </cell>
          <cell r="X541">
            <v>0</v>
          </cell>
          <cell r="Y541">
            <v>0</v>
          </cell>
          <cell r="Z541">
            <v>48894.266669824719</v>
          </cell>
        </row>
        <row r="542">
          <cell r="C542" t="str">
            <v>EDİRNE</v>
          </cell>
          <cell r="D542" t="str">
            <v>MERİÇ</v>
          </cell>
          <cell r="H542" t="str">
            <v>Dağıtım-OG</v>
          </cell>
          <cell r="I542" t="str">
            <v>Uzun</v>
          </cell>
          <cell r="J542" t="str">
            <v>Şebeke işletmecisi</v>
          </cell>
          <cell r="K542" t="str">
            <v>Bildirimsiz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1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130.19999999902211</v>
          </cell>
          <cell r="Z542">
            <v>0</v>
          </cell>
        </row>
        <row r="543">
          <cell r="C543" t="str">
            <v>TEKİRDAĞ</v>
          </cell>
          <cell r="D543" t="str">
            <v>ERGENE</v>
          </cell>
          <cell r="H543" t="str">
            <v>Dağıtım-OG</v>
          </cell>
          <cell r="I543" t="str">
            <v>Uzun</v>
          </cell>
          <cell r="J543" t="str">
            <v>Şebeke işletmecisi</v>
          </cell>
          <cell r="K543" t="str">
            <v>Bildirimsiz</v>
          </cell>
          <cell r="O543">
            <v>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780.39999999571592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</row>
        <row r="544">
          <cell r="C544" t="str">
            <v>KIRKLARELİ</v>
          </cell>
          <cell r="D544" t="str">
            <v>PEHLİVANKÖY</v>
          </cell>
          <cell r="H544" t="str">
            <v>Dağıtım-AG</v>
          </cell>
          <cell r="I544" t="str">
            <v>Uzun</v>
          </cell>
          <cell r="J544" t="str">
            <v>Şebeke işletmecisi</v>
          </cell>
          <cell r="K544" t="str">
            <v>Bildirimsiz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62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8055.866666638758</v>
          </cell>
        </row>
        <row r="545">
          <cell r="C545" t="str">
            <v>EDİRNE</v>
          </cell>
          <cell r="D545" t="str">
            <v>HAVSA</v>
          </cell>
          <cell r="H545" t="str">
            <v>Dağıtım-OG</v>
          </cell>
          <cell r="I545" t="str">
            <v>Uzun</v>
          </cell>
          <cell r="J545" t="str">
            <v>Şebeke işletmecisi</v>
          </cell>
          <cell r="K545" t="str">
            <v>Bildirimsiz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</v>
          </cell>
          <cell r="T545">
            <v>151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129.78333332925104</v>
          </cell>
          <cell r="Z545">
            <v>19597.283332716906</v>
          </cell>
        </row>
        <row r="546">
          <cell r="C546" t="str">
            <v>KIRKLARELİ</v>
          </cell>
          <cell r="D546" t="str">
            <v>KIRKLARELİMERKEZ</v>
          </cell>
          <cell r="H546" t="str">
            <v>Dağıtım-AG</v>
          </cell>
          <cell r="I546" t="str">
            <v>Uzun</v>
          </cell>
          <cell r="J546" t="str">
            <v>Şebeke işletmecisi</v>
          </cell>
          <cell r="K546" t="str">
            <v>Bildirimsiz</v>
          </cell>
          <cell r="O546">
            <v>0</v>
          </cell>
          <cell r="P546">
            <v>7</v>
          </cell>
          <cell r="Q546">
            <v>0</v>
          </cell>
          <cell r="R546">
            <v>0</v>
          </cell>
          <cell r="S546">
            <v>0</v>
          </cell>
          <cell r="T546">
            <v>131</v>
          </cell>
          <cell r="U546">
            <v>0</v>
          </cell>
          <cell r="V546">
            <v>906.50000002118759</v>
          </cell>
          <cell r="W546">
            <v>0</v>
          </cell>
          <cell r="X546">
            <v>0</v>
          </cell>
          <cell r="Y546">
            <v>0</v>
          </cell>
          <cell r="Z546">
            <v>16964.500000396511</v>
          </cell>
        </row>
        <row r="547">
          <cell r="C547" t="str">
            <v>TEKİRDAĞ</v>
          </cell>
          <cell r="D547" t="str">
            <v>MURATLI</v>
          </cell>
          <cell r="H547" t="str">
            <v>Dağıtım-AG</v>
          </cell>
          <cell r="I547" t="str">
            <v>Uzun</v>
          </cell>
          <cell r="J547" t="str">
            <v>Şebeke işletmecisi</v>
          </cell>
          <cell r="K547" t="str">
            <v>Bildirimsiz</v>
          </cell>
          <cell r="O547">
            <v>0</v>
          </cell>
          <cell r="P547">
            <v>159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20574.600000096252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C548" t="str">
            <v>TEKİRDAĞ</v>
          </cell>
          <cell r="D548" t="str">
            <v>HAYRABOLU</v>
          </cell>
          <cell r="H548" t="str">
            <v>Dağıtım-OG</v>
          </cell>
          <cell r="I548" t="str">
            <v>Uzun</v>
          </cell>
          <cell r="J548" t="str">
            <v>Şebeke işletmecisi</v>
          </cell>
          <cell r="K548" t="str">
            <v>Bildirimli</v>
          </cell>
          <cell r="O548">
            <v>0</v>
          </cell>
          <cell r="P548">
            <v>0</v>
          </cell>
          <cell r="Q548">
            <v>0</v>
          </cell>
          <cell r="R548">
            <v>18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2328.2999999891035</v>
          </cell>
          <cell r="Y548">
            <v>0</v>
          </cell>
          <cell r="Z548">
            <v>0</v>
          </cell>
        </row>
        <row r="549">
          <cell r="C549" t="str">
            <v>KIRKLARELİ</v>
          </cell>
          <cell r="D549" t="str">
            <v>BABAESKİ</v>
          </cell>
          <cell r="H549" t="str">
            <v>Dağıtım-AG</v>
          </cell>
          <cell r="I549" t="str">
            <v>Uzun</v>
          </cell>
          <cell r="J549" t="str">
            <v>Şebeke işletmecisi</v>
          </cell>
          <cell r="K549" t="str">
            <v>Bildirimsiz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3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388.04999999818392</v>
          </cell>
        </row>
        <row r="550">
          <cell r="C550" t="str">
            <v>TEKİRDAĞ</v>
          </cell>
          <cell r="D550" t="str">
            <v>KAPAKLI</v>
          </cell>
          <cell r="H550" t="str">
            <v>Dağıtım-AG</v>
          </cell>
          <cell r="I550" t="str">
            <v>Uzun</v>
          </cell>
          <cell r="J550" t="str">
            <v>Şebeke işletmecisi</v>
          </cell>
          <cell r="K550" t="str">
            <v>Bildirimsiz</v>
          </cell>
          <cell r="O550">
            <v>0</v>
          </cell>
          <cell r="P550">
            <v>5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646.416666690493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</row>
        <row r="551">
          <cell r="C551" t="str">
            <v>TEKİRDAĞ</v>
          </cell>
          <cell r="D551" t="str">
            <v>SARAY</v>
          </cell>
          <cell r="H551" t="str">
            <v>Dağıtım-OG</v>
          </cell>
          <cell r="I551" t="str">
            <v>Uzun</v>
          </cell>
          <cell r="J551" t="str">
            <v>Şebeke işletmecisi</v>
          </cell>
          <cell r="K551" t="str">
            <v>Bildirimli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129.15000000502914</v>
          </cell>
          <cell r="Z551">
            <v>0</v>
          </cell>
        </row>
        <row r="552">
          <cell r="C552" t="str">
            <v>KIRKLARELİ</v>
          </cell>
          <cell r="D552" t="str">
            <v>VİZE</v>
          </cell>
          <cell r="H552" t="str">
            <v>Dağıtım-OG</v>
          </cell>
          <cell r="I552" t="str">
            <v>Uzun</v>
          </cell>
          <cell r="J552" t="str">
            <v>Şebeke işletmecisi</v>
          </cell>
          <cell r="K552" t="str">
            <v>Bildirimsiz</v>
          </cell>
          <cell r="O552">
            <v>0</v>
          </cell>
          <cell r="P552">
            <v>0</v>
          </cell>
          <cell r="Q552">
            <v>1</v>
          </cell>
          <cell r="R552">
            <v>225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129.00000000139698</v>
          </cell>
          <cell r="X552">
            <v>29025.000000314321</v>
          </cell>
          <cell r="Y552">
            <v>0</v>
          </cell>
          <cell r="Z552">
            <v>0</v>
          </cell>
        </row>
        <row r="553">
          <cell r="C553" t="str">
            <v>TEKİRDAĞ</v>
          </cell>
          <cell r="D553" t="str">
            <v>ÇORLU</v>
          </cell>
          <cell r="H553" t="str">
            <v>Dağıtım-AG</v>
          </cell>
          <cell r="I553" t="str">
            <v>Uzun</v>
          </cell>
          <cell r="J553" t="str">
            <v>Şebeke işletmecisi</v>
          </cell>
          <cell r="K553" t="str">
            <v>Bildirimsiz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17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2189.5999999414198</v>
          </cell>
        </row>
        <row r="554">
          <cell r="C554" t="str">
            <v>KIRKLARELİ</v>
          </cell>
          <cell r="D554" t="str">
            <v>PEHLİVANKÖY</v>
          </cell>
          <cell r="H554" t="str">
            <v>Dağıtım-AG</v>
          </cell>
          <cell r="I554" t="str">
            <v>Uzun</v>
          </cell>
          <cell r="J554" t="str">
            <v>Şebeke işletmecisi</v>
          </cell>
          <cell r="K554" t="str">
            <v>Bildirimsiz</v>
          </cell>
          <cell r="O554">
            <v>0</v>
          </cell>
          <cell r="P554">
            <v>0</v>
          </cell>
          <cell r="Q554">
            <v>0</v>
          </cell>
          <cell r="R554">
            <v>9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1159.0500000282191</v>
          </cell>
          <cell r="Y554">
            <v>0</v>
          </cell>
          <cell r="Z554">
            <v>0</v>
          </cell>
        </row>
        <row r="555">
          <cell r="C555" t="str">
            <v>KIRKLARELİ</v>
          </cell>
          <cell r="D555" t="str">
            <v>VİZE</v>
          </cell>
          <cell r="H555" t="str">
            <v>Dağıtım-AG</v>
          </cell>
          <cell r="I555" t="str">
            <v>Uzun</v>
          </cell>
          <cell r="J555" t="str">
            <v>Şebeke işletmecisi</v>
          </cell>
          <cell r="K555" t="str">
            <v>Bildirimsiz</v>
          </cell>
          <cell r="O555">
            <v>0</v>
          </cell>
          <cell r="P555">
            <v>0</v>
          </cell>
          <cell r="Q555">
            <v>0</v>
          </cell>
          <cell r="R555">
            <v>17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2185.63333341619</v>
          </cell>
          <cell r="Y555">
            <v>0</v>
          </cell>
          <cell r="Z555">
            <v>0</v>
          </cell>
        </row>
        <row r="556">
          <cell r="C556" t="str">
            <v>EDİRNE</v>
          </cell>
          <cell r="D556" t="str">
            <v>ENEZ</v>
          </cell>
          <cell r="H556" t="str">
            <v>Dağıtım-OG</v>
          </cell>
          <cell r="I556" t="str">
            <v>Uzun</v>
          </cell>
          <cell r="J556" t="str">
            <v>Şebeke işletmecisi</v>
          </cell>
          <cell r="K556" t="str">
            <v>Bildirimsiz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</v>
          </cell>
          <cell r="T556">
            <v>151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256.9666666793637</v>
          </cell>
          <cell r="Z556">
            <v>19400.983334291959</v>
          </cell>
        </row>
        <row r="557">
          <cell r="C557" t="str">
            <v>KIRKLARELİ</v>
          </cell>
          <cell r="D557" t="str">
            <v>VİZE</v>
          </cell>
          <cell r="H557" t="str">
            <v>Dağıtım-AG</v>
          </cell>
          <cell r="I557" t="str">
            <v>Uzun</v>
          </cell>
          <cell r="J557" t="str">
            <v>Şebeke işletmecisi</v>
          </cell>
          <cell r="K557" t="str">
            <v>Bildirimsiz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88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11294.80000058189</v>
          </cell>
        </row>
        <row r="558">
          <cell r="C558" t="str">
            <v>KIRKLARELİ</v>
          </cell>
          <cell r="D558" t="str">
            <v>KOFÇAZ</v>
          </cell>
          <cell r="H558" t="str">
            <v>Dağıtım-AG</v>
          </cell>
          <cell r="I558" t="str">
            <v>Uzun</v>
          </cell>
          <cell r="J558" t="str">
            <v>Şebeke işletmecisi</v>
          </cell>
          <cell r="K558" t="str">
            <v>Bildirimsiz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3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385.00000000814907</v>
          </cell>
        </row>
        <row r="559">
          <cell r="C559" t="str">
            <v>TEKİRDAĞ</v>
          </cell>
          <cell r="D559" t="str">
            <v>ÇORLU</v>
          </cell>
          <cell r="H559" t="str">
            <v>Dağıtım-OG</v>
          </cell>
          <cell r="I559" t="str">
            <v>Uzun</v>
          </cell>
          <cell r="J559" t="str">
            <v>Şebeke işletmecisi</v>
          </cell>
          <cell r="K559" t="str">
            <v>Bildirimli</v>
          </cell>
          <cell r="O559">
            <v>9</v>
          </cell>
          <cell r="P559">
            <v>3</v>
          </cell>
          <cell r="Q559">
            <v>0</v>
          </cell>
          <cell r="R559">
            <v>0</v>
          </cell>
          <cell r="S559">
            <v>4</v>
          </cell>
          <cell r="T559">
            <v>846</v>
          </cell>
          <cell r="U559">
            <v>1152.7499999699648</v>
          </cell>
          <cell r="V559">
            <v>384.24999998998828</v>
          </cell>
          <cell r="W559">
            <v>0</v>
          </cell>
          <cell r="X559">
            <v>0</v>
          </cell>
          <cell r="Y559">
            <v>512.33333331998438</v>
          </cell>
          <cell r="Z559">
            <v>108358.4999971767</v>
          </cell>
        </row>
        <row r="560">
          <cell r="C560" t="str">
            <v>TEKİRDAĞ</v>
          </cell>
          <cell r="D560" t="str">
            <v>MURATLI</v>
          </cell>
          <cell r="H560" t="str">
            <v>Dağıtım-OG</v>
          </cell>
          <cell r="I560" t="str">
            <v>Uzun</v>
          </cell>
          <cell r="J560" t="str">
            <v>Şebeke işletmecisi</v>
          </cell>
          <cell r="K560" t="str">
            <v>Bildirimli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127.70000000135042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</row>
        <row r="561">
          <cell r="C561" t="str">
            <v>KIRKLARELİ</v>
          </cell>
          <cell r="D561" t="str">
            <v>KIRKLARELİMERKEZ</v>
          </cell>
          <cell r="H561" t="str">
            <v>Dağıtım-AG</v>
          </cell>
          <cell r="I561" t="str">
            <v>Uzun</v>
          </cell>
          <cell r="J561" t="str">
            <v>Şebeke işletmecisi</v>
          </cell>
          <cell r="K561" t="str">
            <v>Bildirimsiz</v>
          </cell>
          <cell r="O561">
            <v>0</v>
          </cell>
          <cell r="P561">
            <v>261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33268.799999789335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</row>
        <row r="562">
          <cell r="C562" t="str">
            <v>KIRKLARELİ</v>
          </cell>
          <cell r="D562" t="str">
            <v>VİZE</v>
          </cell>
          <cell r="H562" t="str">
            <v>Dağıtım-OG</v>
          </cell>
          <cell r="I562" t="str">
            <v>Uzun</v>
          </cell>
          <cell r="J562" t="str">
            <v>Dışsal</v>
          </cell>
          <cell r="K562" t="str">
            <v>Bildirimsiz</v>
          </cell>
          <cell r="O562">
            <v>0</v>
          </cell>
          <cell r="P562">
            <v>0</v>
          </cell>
          <cell r="Q562">
            <v>1</v>
          </cell>
          <cell r="R562">
            <v>0</v>
          </cell>
          <cell r="S562">
            <v>2</v>
          </cell>
          <cell r="T562">
            <v>0</v>
          </cell>
          <cell r="U562">
            <v>0</v>
          </cell>
          <cell r="V562">
            <v>0</v>
          </cell>
          <cell r="W562">
            <v>127.28333333157934</v>
          </cell>
          <cell r="X562">
            <v>0</v>
          </cell>
          <cell r="Y562">
            <v>254.56666666315868</v>
          </cell>
          <cell r="Z562">
            <v>0</v>
          </cell>
        </row>
        <row r="563">
          <cell r="C563" t="str">
            <v>TEKİRDAĞ</v>
          </cell>
          <cell r="D563" t="str">
            <v>SÜLEYMANPAŞA</v>
          </cell>
          <cell r="H563" t="str">
            <v>Dağıtım-AG</v>
          </cell>
          <cell r="I563" t="str">
            <v>Uzun</v>
          </cell>
          <cell r="J563" t="str">
            <v>Şebeke işletmecisi</v>
          </cell>
          <cell r="K563" t="str">
            <v>Bildirimli</v>
          </cell>
          <cell r="O563">
            <v>0</v>
          </cell>
          <cell r="P563">
            <v>33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4197.5999999907799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</row>
        <row r="564">
          <cell r="C564" t="str">
            <v>TEKİRDAĞ</v>
          </cell>
          <cell r="D564" t="str">
            <v>ÇORLU</v>
          </cell>
          <cell r="H564" t="str">
            <v>Dağıtım-AG</v>
          </cell>
          <cell r="I564" t="str">
            <v>Uzun</v>
          </cell>
          <cell r="J564" t="str">
            <v>Şebeke işletmecisi</v>
          </cell>
          <cell r="K564" t="str">
            <v>Bildirimsiz</v>
          </cell>
          <cell r="O564">
            <v>0</v>
          </cell>
          <cell r="P564">
            <v>10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1269.5000000414439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C565" t="str">
            <v>EDİRNE</v>
          </cell>
          <cell r="D565" t="str">
            <v>ENEZ</v>
          </cell>
          <cell r="H565" t="str">
            <v>Dağıtım-AG</v>
          </cell>
          <cell r="I565" t="str">
            <v>Uzun</v>
          </cell>
          <cell r="J565" t="str">
            <v>Şebeke işletmecisi</v>
          </cell>
          <cell r="K565" t="str">
            <v>Bildirimsiz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3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380.80000000074506</v>
          </cell>
        </row>
        <row r="566">
          <cell r="C566" t="str">
            <v>KIRKLARELİ</v>
          </cell>
          <cell r="D566" t="str">
            <v>KOFÇAZ</v>
          </cell>
          <cell r="H566" t="str">
            <v>Dağıtım-AG</v>
          </cell>
          <cell r="I566" t="str">
            <v>Uzun</v>
          </cell>
          <cell r="J566" t="str">
            <v>Şebeke işletmecisi</v>
          </cell>
          <cell r="K566" t="str">
            <v>Bildirimsiz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6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760.70000004256144</v>
          </cell>
        </row>
        <row r="567">
          <cell r="C567" t="str">
            <v>EDİRNE</v>
          </cell>
          <cell r="D567" t="str">
            <v>EDİRNEMERKEZ</v>
          </cell>
          <cell r="H567" t="str">
            <v>Dağıtım-OG</v>
          </cell>
          <cell r="I567" t="str">
            <v>Uzun</v>
          </cell>
          <cell r="J567" t="str">
            <v>Şebeke işletmecisi</v>
          </cell>
          <cell r="K567" t="str">
            <v>Bildirimsiz</v>
          </cell>
          <cell r="O567">
            <v>0</v>
          </cell>
          <cell r="P567">
            <v>418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52967.566667497158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</row>
        <row r="568">
          <cell r="C568" t="str">
            <v>TEKİRDAĞ</v>
          </cell>
          <cell r="D568" t="str">
            <v>HAYRABOLU</v>
          </cell>
          <cell r="H568" t="str">
            <v>Dağıtım-AG</v>
          </cell>
          <cell r="I568" t="str">
            <v>Uzun</v>
          </cell>
          <cell r="J568" t="str">
            <v>Şebeke işletmecisi</v>
          </cell>
          <cell r="K568" t="str">
            <v>Bildirimsiz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253.36666665505618</v>
          </cell>
        </row>
        <row r="569">
          <cell r="C569" t="str">
            <v>TEKİRDAĞ</v>
          </cell>
          <cell r="D569" t="str">
            <v>ŞARKÖY</v>
          </cell>
          <cell r="H569" t="str">
            <v>Dağıtım-AG</v>
          </cell>
          <cell r="I569" t="str">
            <v>Uzun</v>
          </cell>
          <cell r="J569" t="str">
            <v>Şebeke işletmecisi</v>
          </cell>
          <cell r="K569" t="str">
            <v>Bildirimsiz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4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504.99999999068677</v>
          </cell>
        </row>
        <row r="570">
          <cell r="C570" t="str">
            <v>TEKİRDAĞ</v>
          </cell>
          <cell r="D570" t="str">
            <v>ÇORLU</v>
          </cell>
          <cell r="H570" t="str">
            <v>Dağıtım-OG</v>
          </cell>
          <cell r="I570" t="str">
            <v>Uzun</v>
          </cell>
          <cell r="J570" t="str">
            <v>Şebeke işletmecisi</v>
          </cell>
          <cell r="K570" t="str">
            <v>Bildirimsiz</v>
          </cell>
          <cell r="O570">
            <v>5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631.08333333511837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</row>
        <row r="571">
          <cell r="C571" t="str">
            <v>EDİRNE</v>
          </cell>
          <cell r="D571" t="str">
            <v>UZUNKÖPRÜ</v>
          </cell>
          <cell r="H571" t="str">
            <v>Dağıtım-OG</v>
          </cell>
          <cell r="I571" t="str">
            <v>Uzun</v>
          </cell>
          <cell r="J571" t="str">
            <v>Şebeke işletmecisi</v>
          </cell>
          <cell r="K571" t="str">
            <v>Bildirimsiz</v>
          </cell>
          <cell r="O571">
            <v>5</v>
          </cell>
          <cell r="P571">
            <v>0</v>
          </cell>
          <cell r="Q571">
            <v>0</v>
          </cell>
          <cell r="R571">
            <v>0</v>
          </cell>
          <cell r="S571">
            <v>3</v>
          </cell>
          <cell r="T571">
            <v>0</v>
          </cell>
          <cell r="U571">
            <v>631.08333333511837</v>
          </cell>
          <cell r="V571">
            <v>0</v>
          </cell>
          <cell r="W571">
            <v>0</v>
          </cell>
          <cell r="X571">
            <v>0</v>
          </cell>
          <cell r="Y571">
            <v>378.65000000107102</v>
          </cell>
          <cell r="Z571">
            <v>0</v>
          </cell>
        </row>
        <row r="572">
          <cell r="C572" t="str">
            <v>TEKİRDAĞ</v>
          </cell>
          <cell r="D572" t="str">
            <v>ÇORLU</v>
          </cell>
          <cell r="H572" t="str">
            <v>Dağıtım-OG</v>
          </cell>
          <cell r="I572" t="str">
            <v>Uzun</v>
          </cell>
          <cell r="J572" t="str">
            <v>Şebeke işletmecisi</v>
          </cell>
          <cell r="K572" t="str">
            <v>Bildirimsiz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37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4644.1166664403863</v>
          </cell>
        </row>
        <row r="573">
          <cell r="C573" t="str">
            <v>EDİRNE</v>
          </cell>
          <cell r="D573" t="str">
            <v>KEŞAN</v>
          </cell>
          <cell r="H573" t="str">
            <v>Dağıtım-OG</v>
          </cell>
          <cell r="I573" t="str">
            <v>Uzun</v>
          </cell>
          <cell r="J573" t="str">
            <v>Şebeke işletmecisi</v>
          </cell>
          <cell r="K573" t="str">
            <v>Bildirimsiz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1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125.28333333553746</v>
          </cell>
          <cell r="Z573">
            <v>0</v>
          </cell>
        </row>
        <row r="574">
          <cell r="C574" t="str">
            <v>EDİRNE</v>
          </cell>
          <cell r="D574" t="str">
            <v>KEŞAN</v>
          </cell>
          <cell r="H574" t="str">
            <v>Dağıtım-OG</v>
          </cell>
          <cell r="I574" t="str">
            <v>Uzun</v>
          </cell>
          <cell r="J574" t="str">
            <v>Şebeke işletmecisi</v>
          </cell>
          <cell r="K574" t="str">
            <v>Bildirimli</v>
          </cell>
          <cell r="O574">
            <v>4</v>
          </cell>
          <cell r="P574">
            <v>6</v>
          </cell>
          <cell r="Q574">
            <v>64</v>
          </cell>
          <cell r="R574">
            <v>2917</v>
          </cell>
          <cell r="S574">
            <v>188</v>
          </cell>
          <cell r="T574">
            <v>4422</v>
          </cell>
          <cell r="U574">
            <v>501.06666665989906</v>
          </cell>
          <cell r="V574">
            <v>751.59999998984858</v>
          </cell>
          <cell r="W574">
            <v>8017.0666665583849</v>
          </cell>
          <cell r="X574">
            <v>365402.86666173139</v>
          </cell>
          <cell r="Y574">
            <v>23550.133333015256</v>
          </cell>
          <cell r="Z574">
            <v>553929.19999251841</v>
          </cell>
        </row>
        <row r="575">
          <cell r="C575" t="str">
            <v>TEKİRDAĞ</v>
          </cell>
          <cell r="D575" t="str">
            <v>ERGENE</v>
          </cell>
          <cell r="H575" t="str">
            <v>Dağıtım-AG</v>
          </cell>
          <cell r="I575" t="str">
            <v>Uzun</v>
          </cell>
          <cell r="J575" t="str">
            <v>Şebeke işletmecisi</v>
          </cell>
          <cell r="K575" t="str">
            <v>Bildirimsiz</v>
          </cell>
          <cell r="O575">
            <v>0</v>
          </cell>
          <cell r="P575">
            <v>60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7501.999999769032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C576" t="str">
            <v>KIRKLARELİ</v>
          </cell>
          <cell r="D576" t="str">
            <v>KIRKLARELİMERKEZ</v>
          </cell>
          <cell r="H576" t="str">
            <v>Dağıtım-OG</v>
          </cell>
          <cell r="I576" t="str">
            <v>Uzun</v>
          </cell>
          <cell r="J576" t="str">
            <v>Şebeke işletmecisi</v>
          </cell>
          <cell r="K576" t="str">
            <v>Bildirimsiz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8</v>
          </cell>
          <cell r="T576">
            <v>76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999.59999998100102</v>
          </cell>
          <cell r="Z576">
            <v>9496.1999998195097</v>
          </cell>
        </row>
        <row r="577">
          <cell r="C577" t="str">
            <v>KIRKLARELİ</v>
          </cell>
          <cell r="D577" t="str">
            <v>VİZE</v>
          </cell>
          <cell r="H577" t="str">
            <v>Dağıtım-OG</v>
          </cell>
          <cell r="I577" t="str">
            <v>Uzun</v>
          </cell>
          <cell r="J577" t="str">
            <v>Şebeke işletmecisi</v>
          </cell>
          <cell r="K577" t="str">
            <v>Bildirimsiz</v>
          </cell>
          <cell r="O577">
            <v>0</v>
          </cell>
          <cell r="P577">
            <v>10</v>
          </cell>
          <cell r="Q577">
            <v>0</v>
          </cell>
          <cell r="R577">
            <v>0</v>
          </cell>
          <cell r="S577">
            <v>2</v>
          </cell>
          <cell r="T577">
            <v>328</v>
          </cell>
          <cell r="U577">
            <v>0</v>
          </cell>
          <cell r="V577">
            <v>1249.3333333753981</v>
          </cell>
          <cell r="W577">
            <v>0</v>
          </cell>
          <cell r="X577">
            <v>0</v>
          </cell>
          <cell r="Y577">
            <v>249.86666667507961</v>
          </cell>
          <cell r="Z577">
            <v>40978.133334713057</v>
          </cell>
        </row>
        <row r="578">
          <cell r="C578" t="str">
            <v>EDİRNE</v>
          </cell>
          <cell r="D578" t="str">
            <v>İPSALA</v>
          </cell>
          <cell r="H578" t="str">
            <v>Dağıtım-AG</v>
          </cell>
          <cell r="I578" t="str">
            <v>Uzun</v>
          </cell>
          <cell r="J578" t="str">
            <v>Şebeke işletmecisi</v>
          </cell>
          <cell r="K578" t="str">
            <v>Bildirimsiz</v>
          </cell>
          <cell r="O578">
            <v>0</v>
          </cell>
          <cell r="P578">
            <v>0</v>
          </cell>
          <cell r="Q578">
            <v>0</v>
          </cell>
          <cell r="R578">
            <v>1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124.93333332706243</v>
          </cell>
          <cell r="Y578">
            <v>0</v>
          </cell>
          <cell r="Z578">
            <v>0</v>
          </cell>
        </row>
        <row r="579">
          <cell r="C579" t="str">
            <v>TEKİRDAĞ</v>
          </cell>
          <cell r="D579" t="str">
            <v>ÇORLU</v>
          </cell>
          <cell r="H579" t="str">
            <v>Dağıtım-AG</v>
          </cell>
          <cell r="I579" t="str">
            <v>Uzun</v>
          </cell>
          <cell r="J579" t="str">
            <v>Şebeke işletmecisi</v>
          </cell>
          <cell r="K579" t="str">
            <v>Bildirimsiz</v>
          </cell>
          <cell r="O579">
            <v>0</v>
          </cell>
          <cell r="P579">
            <v>87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10866.300000599585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C580" t="str">
            <v>TEKİRDAĞ</v>
          </cell>
          <cell r="D580" t="str">
            <v>ÇORLU</v>
          </cell>
          <cell r="H580" t="str">
            <v>Dağıtım-OG</v>
          </cell>
          <cell r="I580" t="str">
            <v>Uzun</v>
          </cell>
          <cell r="J580" t="str">
            <v>Şebeke işletmecisi</v>
          </cell>
          <cell r="K580" t="str">
            <v>Bildirimli</v>
          </cell>
          <cell r="O580">
            <v>9</v>
          </cell>
          <cell r="P580">
            <v>3</v>
          </cell>
          <cell r="Q580">
            <v>0</v>
          </cell>
          <cell r="R580">
            <v>0</v>
          </cell>
          <cell r="S580">
            <v>4</v>
          </cell>
          <cell r="T580">
            <v>846</v>
          </cell>
          <cell r="U580">
            <v>1121.8500000075437</v>
          </cell>
          <cell r="V580">
            <v>373.95000000251457</v>
          </cell>
          <cell r="W580">
            <v>0</v>
          </cell>
          <cell r="X580">
            <v>0</v>
          </cell>
          <cell r="Y580">
            <v>498.60000000335276</v>
          </cell>
          <cell r="Z580">
            <v>105453.90000070911</v>
          </cell>
        </row>
        <row r="581">
          <cell r="C581" t="str">
            <v>TEKİRDAĞ</v>
          </cell>
          <cell r="D581" t="str">
            <v>ÇERKEZKÖY</v>
          </cell>
          <cell r="H581" t="str">
            <v>Dağıtım-AG</v>
          </cell>
          <cell r="I581" t="str">
            <v>Uzun</v>
          </cell>
          <cell r="J581" t="str">
            <v>Dışsal</v>
          </cell>
          <cell r="K581" t="str">
            <v>Bildirimsiz</v>
          </cell>
          <cell r="O581">
            <v>0</v>
          </cell>
          <cell r="P581">
            <v>206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25523.400000748225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2">
          <cell r="C582" t="str">
            <v>EDİRNE</v>
          </cell>
          <cell r="D582" t="str">
            <v>SÜLOĞLU</v>
          </cell>
          <cell r="H582" t="str">
            <v>Dağıtım-OG</v>
          </cell>
          <cell r="I582" t="str">
            <v>Uzun</v>
          </cell>
          <cell r="J582" t="str">
            <v>Şebeke işletmecisi</v>
          </cell>
          <cell r="K582" t="str">
            <v>Bildirimsiz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1</v>
          </cell>
          <cell r="T582">
            <v>146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123.88333334354684</v>
          </cell>
          <cell r="Z582">
            <v>18086.966668157838</v>
          </cell>
        </row>
        <row r="583">
          <cell r="C583" t="str">
            <v>TEKİRDAĞ</v>
          </cell>
          <cell r="D583" t="str">
            <v>SÜLEYMANPAŞA</v>
          </cell>
          <cell r="H583" t="str">
            <v>Dağıtım-AG</v>
          </cell>
          <cell r="I583" t="str">
            <v>Uzun</v>
          </cell>
          <cell r="J583" t="str">
            <v>Şebeke işletmecisi</v>
          </cell>
          <cell r="K583" t="str">
            <v>Bildirimsiz</v>
          </cell>
          <cell r="O583">
            <v>0</v>
          </cell>
          <cell r="P583">
            <v>33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4082.6500000886153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</row>
        <row r="584">
          <cell r="C584" t="str">
            <v>KIRKLARELİ</v>
          </cell>
          <cell r="D584" t="str">
            <v>VİZE</v>
          </cell>
          <cell r="H584" t="str">
            <v>Dağıtım-OG</v>
          </cell>
          <cell r="I584" t="str">
            <v>Uzun</v>
          </cell>
          <cell r="J584" t="str">
            <v>Şebeke işletmecisi</v>
          </cell>
          <cell r="K584" t="str">
            <v>Bildirimsiz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13</v>
          </cell>
          <cell r="T584">
            <v>189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1608.3166667015757</v>
          </cell>
          <cell r="Z584">
            <v>23382.450000507524</v>
          </cell>
        </row>
        <row r="585">
          <cell r="C585" t="str">
            <v>TEKİRDAĞ</v>
          </cell>
          <cell r="D585" t="str">
            <v>ÇORLU</v>
          </cell>
          <cell r="H585" t="str">
            <v>Dağıtım-OG</v>
          </cell>
          <cell r="I585" t="str">
            <v>Uzun</v>
          </cell>
          <cell r="J585" t="str">
            <v>Dışsal</v>
          </cell>
          <cell r="K585" t="str">
            <v>Bildirimsiz</v>
          </cell>
          <cell r="O585">
            <v>15</v>
          </cell>
          <cell r="P585">
            <v>6</v>
          </cell>
          <cell r="Q585">
            <v>0</v>
          </cell>
          <cell r="R585">
            <v>0</v>
          </cell>
          <cell r="S585">
            <v>13</v>
          </cell>
          <cell r="T585">
            <v>0</v>
          </cell>
          <cell r="U585">
            <v>1852.2500000079162</v>
          </cell>
          <cell r="V585">
            <v>740.9000000031665</v>
          </cell>
          <cell r="W585">
            <v>0</v>
          </cell>
          <cell r="X585">
            <v>0</v>
          </cell>
          <cell r="Y585">
            <v>1605.2833333401941</v>
          </cell>
          <cell r="Z585">
            <v>0</v>
          </cell>
        </row>
        <row r="586">
          <cell r="C586" t="str">
            <v>EDİRNE</v>
          </cell>
          <cell r="D586" t="str">
            <v>MERİÇ</v>
          </cell>
          <cell r="H586" t="str">
            <v>Dağıtım-AG</v>
          </cell>
          <cell r="I586" t="str">
            <v>Uzun</v>
          </cell>
          <cell r="J586" t="str">
            <v>Şebeke işletmecisi</v>
          </cell>
          <cell r="K586" t="str">
            <v>Bildirimsiz</v>
          </cell>
          <cell r="O586">
            <v>0</v>
          </cell>
          <cell r="P586">
            <v>0</v>
          </cell>
          <cell r="Q586">
            <v>0</v>
          </cell>
          <cell r="R586">
            <v>23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2837.8166668640915</v>
          </cell>
          <cell r="Y586">
            <v>0</v>
          </cell>
          <cell r="Z586">
            <v>0</v>
          </cell>
        </row>
        <row r="587">
          <cell r="C587" t="str">
            <v>EDİRNE</v>
          </cell>
          <cell r="D587" t="str">
            <v>HAVSA</v>
          </cell>
          <cell r="H587" t="str">
            <v>Dağıtım-AG</v>
          </cell>
          <cell r="I587" t="str">
            <v>Uzun</v>
          </cell>
          <cell r="J587" t="str">
            <v>Şebeke işletmecisi</v>
          </cell>
          <cell r="K587" t="str">
            <v>Bildirimsiz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87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10705.350000348408</v>
          </cell>
        </row>
        <row r="588">
          <cell r="C588" t="str">
            <v>TEKİRDAĞ</v>
          </cell>
          <cell r="D588" t="str">
            <v>ÇORLU</v>
          </cell>
          <cell r="H588" t="str">
            <v>Dağıtım-OG</v>
          </cell>
          <cell r="I588" t="str">
            <v>Uzun</v>
          </cell>
          <cell r="J588" t="str">
            <v>Şebeke işletmecisi</v>
          </cell>
          <cell r="K588" t="str">
            <v>Bildirimsiz</v>
          </cell>
          <cell r="O588">
            <v>13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1599.4333333347458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</row>
        <row r="589">
          <cell r="C589" t="str">
            <v>EDİRNE</v>
          </cell>
          <cell r="D589" t="str">
            <v>İPSALA</v>
          </cell>
          <cell r="H589" t="str">
            <v>Dağıtım-AG</v>
          </cell>
          <cell r="I589" t="str">
            <v>Uzun</v>
          </cell>
          <cell r="J589" t="str">
            <v>Şebeke işletmecisi</v>
          </cell>
          <cell r="K589" t="str">
            <v>Bildirimsiz</v>
          </cell>
          <cell r="O589">
            <v>0</v>
          </cell>
          <cell r="P589">
            <v>0</v>
          </cell>
          <cell r="Q589">
            <v>0</v>
          </cell>
          <cell r="R589">
            <v>2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245.76666665961966</v>
          </cell>
          <cell r="Y589">
            <v>0</v>
          </cell>
          <cell r="Z589">
            <v>0</v>
          </cell>
        </row>
        <row r="590">
          <cell r="C590" t="str">
            <v>KIRKLARELİ</v>
          </cell>
          <cell r="D590" t="str">
            <v>VİZE</v>
          </cell>
          <cell r="H590" t="str">
            <v>Dağıtım-AG</v>
          </cell>
          <cell r="I590" t="str">
            <v>Uzun</v>
          </cell>
          <cell r="J590" t="str">
            <v>Şebeke işletmecisi</v>
          </cell>
          <cell r="K590" t="str">
            <v>Bildirimsiz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10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1227.6666666730307</v>
          </cell>
        </row>
        <row r="591">
          <cell r="C591" t="str">
            <v>KIRKLARELİ</v>
          </cell>
          <cell r="D591" t="str">
            <v>LÜLEBURGAZ</v>
          </cell>
          <cell r="H591" t="str">
            <v>Dağıtım-AG</v>
          </cell>
          <cell r="I591" t="str">
            <v>Uzun</v>
          </cell>
          <cell r="J591" t="str">
            <v>Şebeke işletmecisi</v>
          </cell>
          <cell r="K591" t="str">
            <v>Bildirimsiz</v>
          </cell>
          <cell r="O591">
            <v>0</v>
          </cell>
          <cell r="P591">
            <v>84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10304.000000730157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2">
          <cell r="C592" t="str">
            <v>TEKİRDAĞ</v>
          </cell>
          <cell r="D592" t="str">
            <v>SARAY</v>
          </cell>
          <cell r="H592" t="str">
            <v>Dağıtım-OG</v>
          </cell>
          <cell r="I592" t="str">
            <v>Uzun</v>
          </cell>
          <cell r="J592" t="str">
            <v>Şebeke işletmecisi</v>
          </cell>
          <cell r="K592" t="str">
            <v>Bildirimsiz</v>
          </cell>
          <cell r="O592">
            <v>0</v>
          </cell>
          <cell r="P592">
            <v>0</v>
          </cell>
          <cell r="Q592">
            <v>6</v>
          </cell>
          <cell r="R592">
            <v>240</v>
          </cell>
          <cell r="S592">
            <v>9</v>
          </cell>
          <cell r="T592">
            <v>971</v>
          </cell>
          <cell r="U592">
            <v>0</v>
          </cell>
          <cell r="V592">
            <v>0</v>
          </cell>
          <cell r="W592">
            <v>735.80000000540167</v>
          </cell>
          <cell r="X592">
            <v>29432.000000216067</v>
          </cell>
          <cell r="Y592">
            <v>1103.7000000081025</v>
          </cell>
          <cell r="Z592">
            <v>119076.96666754084</v>
          </cell>
        </row>
        <row r="593">
          <cell r="C593" t="str">
            <v>TEKİRDAĞ</v>
          </cell>
          <cell r="D593" t="str">
            <v>MARMARAEREĞLİSİ</v>
          </cell>
          <cell r="H593" t="str">
            <v>Dağıtım-AG</v>
          </cell>
          <cell r="I593" t="str">
            <v>Uzun</v>
          </cell>
          <cell r="J593" t="str">
            <v>Şebeke İşletmecisi</v>
          </cell>
          <cell r="K593" t="str">
            <v>Bildirimsiz</v>
          </cell>
          <cell r="O593">
            <v>0</v>
          </cell>
          <cell r="P593">
            <v>0</v>
          </cell>
          <cell r="Q593">
            <v>0</v>
          </cell>
          <cell r="R593">
            <v>8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980.66666666418314</v>
          </cell>
          <cell r="Y593">
            <v>0</v>
          </cell>
          <cell r="Z593">
            <v>0</v>
          </cell>
        </row>
        <row r="594">
          <cell r="C594" t="str">
            <v>TEKİRDAĞ</v>
          </cell>
          <cell r="D594" t="str">
            <v>ERGENE</v>
          </cell>
          <cell r="H594" t="str">
            <v>Dağıtım-OG</v>
          </cell>
          <cell r="I594" t="str">
            <v>Uzun</v>
          </cell>
          <cell r="J594" t="str">
            <v>Dışsal</v>
          </cell>
          <cell r="K594" t="str">
            <v>Bildirimsiz</v>
          </cell>
          <cell r="O594">
            <v>0</v>
          </cell>
          <cell r="P594">
            <v>85</v>
          </cell>
          <cell r="Q594">
            <v>0</v>
          </cell>
          <cell r="R594">
            <v>1</v>
          </cell>
          <cell r="S594">
            <v>32</v>
          </cell>
          <cell r="T594">
            <v>1869</v>
          </cell>
          <cell r="U594">
            <v>0</v>
          </cell>
          <cell r="V594">
            <v>10406.83333388879</v>
          </cell>
          <cell r="W594">
            <v>0</v>
          </cell>
          <cell r="X594">
            <v>122.43333333986811</v>
          </cell>
          <cell r="Y594">
            <v>3917.8666668757796</v>
          </cell>
          <cell r="Z594">
            <v>228827.9000122135</v>
          </cell>
        </row>
        <row r="595">
          <cell r="C595" t="str">
            <v>TEKİRDAĞ</v>
          </cell>
          <cell r="D595" t="str">
            <v>MARMARAEREĞLİSİ</v>
          </cell>
          <cell r="H595" t="str">
            <v>Dağıtım-AG</v>
          </cell>
          <cell r="I595" t="str">
            <v>Uzun</v>
          </cell>
          <cell r="J595" t="str">
            <v>Şebeke işletmecisi</v>
          </cell>
          <cell r="K595" t="str">
            <v>Bildirimsiz</v>
          </cell>
          <cell r="O595">
            <v>0</v>
          </cell>
          <cell r="P595">
            <v>1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122.38333332818002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C596" t="str">
            <v>TEKİRDAĞ</v>
          </cell>
          <cell r="D596" t="str">
            <v>ÇORLU</v>
          </cell>
          <cell r="H596" t="str">
            <v>Dağıtım-AG</v>
          </cell>
          <cell r="I596" t="str">
            <v>Uzun</v>
          </cell>
          <cell r="J596" t="str">
            <v>Şebeke işletmecisi</v>
          </cell>
          <cell r="K596" t="str">
            <v>Bildirimsiz</v>
          </cell>
          <cell r="O596">
            <v>0</v>
          </cell>
          <cell r="P596">
            <v>10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1222.8333332575858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7">
          <cell r="C597" t="str">
            <v>TEKİRDAĞ</v>
          </cell>
          <cell r="D597" t="str">
            <v>SARAY</v>
          </cell>
          <cell r="H597" t="str">
            <v>Dağıtım-OG</v>
          </cell>
          <cell r="I597" t="str">
            <v>Uzun</v>
          </cell>
          <cell r="J597" t="str">
            <v>Şebeke işletmecisi</v>
          </cell>
          <cell r="K597" t="str">
            <v>Bildirimli</v>
          </cell>
          <cell r="O597">
            <v>0</v>
          </cell>
          <cell r="P597">
            <v>1</v>
          </cell>
          <cell r="Q597">
            <v>1</v>
          </cell>
          <cell r="R597">
            <v>1056</v>
          </cell>
          <cell r="S597">
            <v>0</v>
          </cell>
          <cell r="T597">
            <v>0</v>
          </cell>
          <cell r="U597">
            <v>0</v>
          </cell>
          <cell r="V597">
            <v>122.05000000074506</v>
          </cell>
          <cell r="W597">
            <v>122.05000000074506</v>
          </cell>
          <cell r="X597">
            <v>128884.80000078678</v>
          </cell>
          <cell r="Y597">
            <v>0</v>
          </cell>
          <cell r="Z597">
            <v>0</v>
          </cell>
        </row>
        <row r="598">
          <cell r="C598" t="str">
            <v>KIRKLARELİ</v>
          </cell>
          <cell r="D598" t="str">
            <v>KIRKLARELİMERKEZ</v>
          </cell>
          <cell r="H598" t="str">
            <v>Dağıtım-OG</v>
          </cell>
          <cell r="I598" t="str">
            <v>Uzun</v>
          </cell>
          <cell r="J598" t="str">
            <v>Şebeke işletmecisi</v>
          </cell>
          <cell r="K598" t="str">
            <v>Bildirimsiz</v>
          </cell>
          <cell r="O598">
            <v>0</v>
          </cell>
          <cell r="P598">
            <v>0</v>
          </cell>
          <cell r="Q598">
            <v>5</v>
          </cell>
          <cell r="R598">
            <v>0</v>
          </cell>
          <cell r="S598">
            <v>9</v>
          </cell>
          <cell r="T598">
            <v>668</v>
          </cell>
          <cell r="U598">
            <v>0</v>
          </cell>
          <cell r="V598">
            <v>0</v>
          </cell>
          <cell r="W598">
            <v>609.66666669119149</v>
          </cell>
          <cell r="X598">
            <v>0</v>
          </cell>
          <cell r="Y598">
            <v>1097.4000000441447</v>
          </cell>
          <cell r="Z598">
            <v>81451.466669943184</v>
          </cell>
        </row>
        <row r="599">
          <cell r="C599" t="str">
            <v>EDİRNE</v>
          </cell>
          <cell r="D599" t="str">
            <v>HAVSA</v>
          </cell>
          <cell r="H599" t="str">
            <v>Dağıtım-AG</v>
          </cell>
          <cell r="I599" t="str">
            <v>Uzun</v>
          </cell>
          <cell r="J599" t="str">
            <v>Şebeke işletmecisi</v>
          </cell>
          <cell r="K599" t="str">
            <v>Bildirimsiz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20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2433.0000000307336</v>
          </cell>
        </row>
        <row r="600">
          <cell r="C600" t="str">
            <v>KIRKLARELİ</v>
          </cell>
          <cell r="D600" t="str">
            <v>DEMİRKÖY</v>
          </cell>
          <cell r="H600" t="str">
            <v>Dağıtım-OG</v>
          </cell>
          <cell r="I600" t="str">
            <v>Uzun</v>
          </cell>
          <cell r="J600" t="str">
            <v>Şebeke işletmecisi</v>
          </cell>
          <cell r="K600" t="str">
            <v>Bildirimsiz</v>
          </cell>
          <cell r="O600">
            <v>0</v>
          </cell>
          <cell r="P600">
            <v>0</v>
          </cell>
          <cell r="Q600">
            <v>0</v>
          </cell>
          <cell r="R600">
            <v>4</v>
          </cell>
          <cell r="S600">
            <v>2</v>
          </cell>
          <cell r="T600">
            <v>182</v>
          </cell>
          <cell r="U600">
            <v>0</v>
          </cell>
          <cell r="V600">
            <v>0</v>
          </cell>
          <cell r="W600">
            <v>0</v>
          </cell>
          <cell r="X600">
            <v>486.26666667871177</v>
          </cell>
          <cell r="Y600">
            <v>243.13333333935589</v>
          </cell>
          <cell r="Z600">
            <v>22125.133333881386</v>
          </cell>
        </row>
        <row r="601">
          <cell r="C601" t="str">
            <v>KIRKLARELİ</v>
          </cell>
          <cell r="D601" t="str">
            <v>VİZE</v>
          </cell>
          <cell r="H601" t="str">
            <v>Dağıtım-AG</v>
          </cell>
          <cell r="I601" t="str">
            <v>Uzun</v>
          </cell>
          <cell r="J601" t="str">
            <v>Şebeke işletmecisi</v>
          </cell>
          <cell r="K601" t="str">
            <v>Bildirimsiz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2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243.13333333935589</v>
          </cell>
        </row>
        <row r="602">
          <cell r="C602" t="str">
            <v>EDİRNE</v>
          </cell>
          <cell r="D602" t="str">
            <v>EDİRNEMERKEZ</v>
          </cell>
          <cell r="H602" t="str">
            <v>Dağıtım-AG</v>
          </cell>
          <cell r="I602" t="str">
            <v>Uzun</v>
          </cell>
          <cell r="J602" t="str">
            <v>Şebeke işletmecisi</v>
          </cell>
          <cell r="K602" t="str">
            <v>Bildirimsiz</v>
          </cell>
          <cell r="O602">
            <v>0</v>
          </cell>
          <cell r="P602">
            <v>116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14090.133333401754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</row>
        <row r="603">
          <cell r="C603" t="str">
            <v>KIRKLARELİ</v>
          </cell>
          <cell r="D603" t="str">
            <v>KIRKLARELİMERKEZ</v>
          </cell>
          <cell r="H603" t="str">
            <v>Dağıtım-OG</v>
          </cell>
          <cell r="I603" t="str">
            <v>Uzun</v>
          </cell>
          <cell r="J603" t="str">
            <v>Şebeke işletmecisi</v>
          </cell>
          <cell r="K603" t="str">
            <v>Bildirimli</v>
          </cell>
          <cell r="O603">
            <v>4</v>
          </cell>
          <cell r="P603">
            <v>321</v>
          </cell>
          <cell r="Q603">
            <v>3</v>
          </cell>
          <cell r="R603">
            <v>9</v>
          </cell>
          <cell r="S603">
            <v>0</v>
          </cell>
          <cell r="T603">
            <v>0</v>
          </cell>
          <cell r="U603">
            <v>485.79999998677522</v>
          </cell>
          <cell r="V603">
            <v>38985.449998938711</v>
          </cell>
          <cell r="W603">
            <v>364.34999999008141</v>
          </cell>
          <cell r="X603">
            <v>1093.0499999702442</v>
          </cell>
          <cell r="Y603">
            <v>0</v>
          </cell>
          <cell r="Z603">
            <v>0</v>
          </cell>
        </row>
        <row r="604">
          <cell r="C604" t="str">
            <v>TEKİRDAĞ</v>
          </cell>
          <cell r="D604" t="str">
            <v>HAYRABOLU</v>
          </cell>
          <cell r="H604" t="str">
            <v>Dağıtım-AG</v>
          </cell>
          <cell r="I604" t="str">
            <v>Uzun</v>
          </cell>
          <cell r="J604" t="str">
            <v>Şebeke işletmecisi</v>
          </cell>
          <cell r="K604" t="str">
            <v>Bildirimsiz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24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2914.4000000786036</v>
          </cell>
        </row>
        <row r="605">
          <cell r="C605" t="str">
            <v>KIRKLARELİ</v>
          </cell>
          <cell r="D605" t="str">
            <v>LÜLEBURGAZ</v>
          </cell>
          <cell r="H605" t="str">
            <v>Dağıtım-AG</v>
          </cell>
          <cell r="I605" t="str">
            <v>Uzun</v>
          </cell>
          <cell r="J605" t="str">
            <v>Şebeke işletmecisi</v>
          </cell>
          <cell r="K605" t="str">
            <v>Bildirimsiz</v>
          </cell>
          <cell r="O605">
            <v>0</v>
          </cell>
          <cell r="P605">
            <v>119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14428.750000277068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</row>
        <row r="606">
          <cell r="C606" t="str">
            <v>TEKİRDAĞ</v>
          </cell>
          <cell r="D606" t="str">
            <v>ERGENE</v>
          </cell>
          <cell r="H606" t="str">
            <v>Dağıtım-AG</v>
          </cell>
          <cell r="I606" t="str">
            <v>Uzun</v>
          </cell>
          <cell r="J606" t="str">
            <v>Şebeke işletmecisi</v>
          </cell>
          <cell r="K606" t="str">
            <v>Bildirimsiz</v>
          </cell>
          <cell r="O606">
            <v>0</v>
          </cell>
          <cell r="P606">
            <v>9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1090.9499999508262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</row>
        <row r="607">
          <cell r="C607" t="str">
            <v>TEKİRDAĞ</v>
          </cell>
          <cell r="D607" t="str">
            <v>ÇERKEZKÖY</v>
          </cell>
          <cell r="H607" t="str">
            <v>Dağıtım-AG</v>
          </cell>
          <cell r="I607" t="str">
            <v>Uzun</v>
          </cell>
          <cell r="J607" t="str">
            <v>Dışsal</v>
          </cell>
          <cell r="K607" t="str">
            <v>Bildirimsiz</v>
          </cell>
          <cell r="O607">
            <v>0</v>
          </cell>
          <cell r="P607">
            <v>85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10300.583333097165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</row>
        <row r="608">
          <cell r="C608" t="str">
            <v>EDİRNE</v>
          </cell>
          <cell r="D608" t="str">
            <v>KEŞAN</v>
          </cell>
          <cell r="H608" t="str">
            <v>Dağıtım-AG</v>
          </cell>
          <cell r="I608" t="str">
            <v>Uzun</v>
          </cell>
          <cell r="J608" t="str">
            <v>Şebeke işletmecisi</v>
          </cell>
          <cell r="K608" t="str">
            <v>Bildirimsiz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1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120.91666666441597</v>
          </cell>
        </row>
        <row r="609">
          <cell r="C609" t="str">
            <v>KIRKLARELİ</v>
          </cell>
          <cell r="D609" t="str">
            <v>VİZE</v>
          </cell>
          <cell r="H609" t="str">
            <v>Dağıtım-AG</v>
          </cell>
          <cell r="I609" t="str">
            <v>Uzun</v>
          </cell>
          <cell r="J609" t="str">
            <v>Şebeke işletmecisi</v>
          </cell>
          <cell r="K609" t="str">
            <v>Bildirimsiz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362.54999997792765</v>
          </cell>
        </row>
        <row r="610">
          <cell r="C610" t="str">
            <v>EDİRNE</v>
          </cell>
          <cell r="D610" t="str">
            <v>MERİÇ</v>
          </cell>
          <cell r="H610" t="str">
            <v>Dağıtım-AG</v>
          </cell>
          <cell r="I610" t="str">
            <v>Uzun</v>
          </cell>
          <cell r="J610" t="str">
            <v>Şebeke işletmecisi</v>
          </cell>
          <cell r="K610" t="str">
            <v>Bildirimsiz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94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11348.933333032764</v>
          </cell>
        </row>
        <row r="611">
          <cell r="C611" t="str">
            <v>TEKİRDAĞ</v>
          </cell>
          <cell r="D611" t="str">
            <v>MARMARAEREĞLİSİ</v>
          </cell>
          <cell r="H611" t="str">
            <v>Dağıtım-AG</v>
          </cell>
          <cell r="I611" t="str">
            <v>Uzun</v>
          </cell>
          <cell r="J611" t="str">
            <v>Şebeke işletmecisi</v>
          </cell>
          <cell r="K611" t="str">
            <v>Bildirimsiz</v>
          </cell>
          <cell r="O611">
            <v>0</v>
          </cell>
          <cell r="P611">
            <v>0</v>
          </cell>
          <cell r="Q611">
            <v>0</v>
          </cell>
          <cell r="R611">
            <v>15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1809.4999999157153</v>
          </cell>
          <cell r="Y611">
            <v>0</v>
          </cell>
          <cell r="Z611">
            <v>0</v>
          </cell>
        </row>
        <row r="612">
          <cell r="C612" t="str">
            <v>EDİRNE</v>
          </cell>
          <cell r="D612" t="str">
            <v>EDİRNEMERKEZ</v>
          </cell>
          <cell r="H612" t="str">
            <v>Dağıtım-AG</v>
          </cell>
          <cell r="I612" t="str">
            <v>Uzun</v>
          </cell>
          <cell r="J612" t="str">
            <v>Şebeke işletmecisi</v>
          </cell>
          <cell r="K612" t="str">
            <v>Bildirimsiz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1204.0000000270084</v>
          </cell>
        </row>
        <row r="613">
          <cell r="C613" t="str">
            <v>TEKİRDAĞ</v>
          </cell>
          <cell r="D613" t="str">
            <v>MARMARAEREĞLİSİ</v>
          </cell>
          <cell r="H613" t="str">
            <v>Dağıtım-OG</v>
          </cell>
          <cell r="I613" t="str">
            <v>Uzun</v>
          </cell>
          <cell r="J613" t="str">
            <v>Şebeke işletmecisi</v>
          </cell>
          <cell r="K613" t="str">
            <v>Bildirimli</v>
          </cell>
          <cell r="O613">
            <v>0</v>
          </cell>
          <cell r="P613">
            <v>1051</v>
          </cell>
          <cell r="Q613">
            <v>3</v>
          </cell>
          <cell r="R613">
            <v>3019</v>
          </cell>
          <cell r="S613">
            <v>0</v>
          </cell>
          <cell r="T613">
            <v>2</v>
          </cell>
          <cell r="U613">
            <v>0</v>
          </cell>
          <cell r="V613">
            <v>126400.26666978258</v>
          </cell>
          <cell r="W613">
            <v>360.80000000889413</v>
          </cell>
          <cell r="X613">
            <v>363085.06667561713</v>
          </cell>
          <cell r="Y613">
            <v>0</v>
          </cell>
          <cell r="Z613">
            <v>240.53333333926275</v>
          </cell>
        </row>
        <row r="614">
          <cell r="C614" t="str">
            <v>TEKİRDAĞ</v>
          </cell>
          <cell r="D614" t="str">
            <v>SÜLEYMANPAŞA</v>
          </cell>
          <cell r="H614" t="str">
            <v>Dağıtım-AG</v>
          </cell>
          <cell r="I614" t="str">
            <v>Uzun</v>
          </cell>
          <cell r="J614" t="str">
            <v>Şebeke işletmecisi</v>
          </cell>
          <cell r="K614" t="str">
            <v>Bildirimsiz</v>
          </cell>
          <cell r="O614">
            <v>0</v>
          </cell>
          <cell r="P614">
            <v>5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601.08333334210329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</row>
        <row r="615">
          <cell r="C615" t="str">
            <v>EDİRNE</v>
          </cell>
          <cell r="D615" t="str">
            <v>KEŞAN</v>
          </cell>
          <cell r="H615" t="str">
            <v>Dağıtım-AG</v>
          </cell>
          <cell r="I615" t="str">
            <v>Uzun</v>
          </cell>
          <cell r="J615" t="str">
            <v>Şebeke işletmecisi</v>
          </cell>
          <cell r="K615" t="str">
            <v>Bildirimsiz</v>
          </cell>
          <cell r="O615">
            <v>0</v>
          </cell>
          <cell r="P615">
            <v>8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961.73333334736526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</row>
        <row r="616">
          <cell r="C616" t="str">
            <v>TEKİRDAĞ</v>
          </cell>
          <cell r="D616" t="str">
            <v>ÇORLU</v>
          </cell>
          <cell r="H616" t="str">
            <v>Dağıtım-OG</v>
          </cell>
          <cell r="I616" t="str">
            <v>Uzun</v>
          </cell>
          <cell r="J616" t="str">
            <v>Şebeke işletmecisi</v>
          </cell>
          <cell r="K616" t="str">
            <v>Bildirimsiz</v>
          </cell>
          <cell r="O616">
            <v>9</v>
          </cell>
          <cell r="P616">
            <v>5</v>
          </cell>
          <cell r="Q616">
            <v>0</v>
          </cell>
          <cell r="R616">
            <v>0</v>
          </cell>
          <cell r="S616">
            <v>1</v>
          </cell>
          <cell r="T616">
            <v>0</v>
          </cell>
          <cell r="U616">
            <v>1080.0000000314321</v>
          </cell>
          <cell r="V616">
            <v>600.0000000174623</v>
          </cell>
          <cell r="W616">
            <v>0</v>
          </cell>
          <cell r="X616">
            <v>0</v>
          </cell>
          <cell r="Y616">
            <v>120.00000000349246</v>
          </cell>
          <cell r="Z616">
            <v>0</v>
          </cell>
        </row>
        <row r="617">
          <cell r="C617" t="str">
            <v>TEKİRDAĞ</v>
          </cell>
          <cell r="D617" t="str">
            <v>ERGENE</v>
          </cell>
          <cell r="H617" t="str">
            <v>Dağıtım-OG</v>
          </cell>
          <cell r="I617" t="str">
            <v>Uzun</v>
          </cell>
          <cell r="J617" t="str">
            <v>Şebeke işletmecisi</v>
          </cell>
          <cell r="K617" t="str">
            <v>Bildirimli</v>
          </cell>
          <cell r="O617">
            <v>3</v>
          </cell>
          <cell r="P617">
            <v>0</v>
          </cell>
          <cell r="Q617">
            <v>0</v>
          </cell>
          <cell r="R617">
            <v>0</v>
          </cell>
          <cell r="S617">
            <v>4</v>
          </cell>
          <cell r="T617">
            <v>0</v>
          </cell>
          <cell r="U617">
            <v>359.90000001853332</v>
          </cell>
          <cell r="V617">
            <v>0</v>
          </cell>
          <cell r="W617">
            <v>0</v>
          </cell>
          <cell r="X617">
            <v>0</v>
          </cell>
          <cell r="Y617">
            <v>479.86666669137776</v>
          </cell>
          <cell r="Z617">
            <v>0</v>
          </cell>
        </row>
        <row r="618">
          <cell r="C618" t="str">
            <v>TEKİRDAĞ</v>
          </cell>
          <cell r="D618" t="str">
            <v>MURATLI</v>
          </cell>
          <cell r="H618" t="str">
            <v>Dağıtım-OG</v>
          </cell>
          <cell r="I618" t="str">
            <v>Uzun</v>
          </cell>
          <cell r="J618" t="str">
            <v>Şebeke işletmecisi</v>
          </cell>
          <cell r="K618" t="str">
            <v>Bildirimli</v>
          </cell>
          <cell r="O618">
            <v>0</v>
          </cell>
          <cell r="P618">
            <v>182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21830.900000415277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</row>
        <row r="619">
          <cell r="C619" t="str">
            <v>KIRKLARELİ</v>
          </cell>
          <cell r="D619" t="str">
            <v>BABAESKİ</v>
          </cell>
          <cell r="H619" t="str">
            <v>Dağıtım-OG</v>
          </cell>
          <cell r="I619" t="str">
            <v>Uzun</v>
          </cell>
          <cell r="J619" t="str">
            <v>Şebeke işletmecisi</v>
          </cell>
          <cell r="K619" t="str">
            <v>Bildirimli</v>
          </cell>
          <cell r="O619">
            <v>0</v>
          </cell>
          <cell r="P619">
            <v>1</v>
          </cell>
          <cell r="Q619">
            <v>0</v>
          </cell>
          <cell r="R619">
            <v>86</v>
          </cell>
          <cell r="S619">
            <v>0</v>
          </cell>
          <cell r="T619">
            <v>1</v>
          </cell>
          <cell r="U619">
            <v>0</v>
          </cell>
          <cell r="V619">
            <v>119.95000000228174</v>
          </cell>
          <cell r="W619">
            <v>0</v>
          </cell>
          <cell r="X619">
            <v>10315.70000019623</v>
          </cell>
          <cell r="Y619">
            <v>0</v>
          </cell>
          <cell r="Z619">
            <v>119.95000000228174</v>
          </cell>
        </row>
        <row r="620">
          <cell r="C620" t="str">
            <v>TEKİRDAĞ</v>
          </cell>
          <cell r="D620" t="str">
            <v>SÜLEYMANPAŞA</v>
          </cell>
          <cell r="H620" t="str">
            <v>Dağıtım-OG</v>
          </cell>
          <cell r="I620" t="str">
            <v>Uzun</v>
          </cell>
          <cell r="J620" t="str">
            <v>Şebeke işletmecisi</v>
          </cell>
          <cell r="K620" t="str">
            <v>Bildirimli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239.86666666343808</v>
          </cell>
          <cell r="Z620">
            <v>0</v>
          </cell>
        </row>
        <row r="621">
          <cell r="C621" t="str">
            <v>TEKİRDAĞ</v>
          </cell>
          <cell r="D621" t="str">
            <v>ERGENE</v>
          </cell>
          <cell r="H621" t="str">
            <v>Dağıtım-OG</v>
          </cell>
          <cell r="I621" t="str">
            <v>Uzun</v>
          </cell>
          <cell r="J621" t="str">
            <v>Şebeke işletmecisi</v>
          </cell>
          <cell r="K621" t="str">
            <v>Bildirimli</v>
          </cell>
          <cell r="O621">
            <v>5</v>
          </cell>
          <cell r="P621">
            <v>0</v>
          </cell>
          <cell r="Q621">
            <v>0</v>
          </cell>
          <cell r="R621">
            <v>0</v>
          </cell>
          <cell r="S621">
            <v>4</v>
          </cell>
          <cell r="T621">
            <v>0</v>
          </cell>
          <cell r="U621">
            <v>599.5833333581686</v>
          </cell>
          <cell r="V621">
            <v>0</v>
          </cell>
          <cell r="W621">
            <v>0</v>
          </cell>
          <cell r="X621">
            <v>0</v>
          </cell>
          <cell r="Y621">
            <v>479.66666668653488</v>
          </cell>
          <cell r="Z621">
            <v>0</v>
          </cell>
        </row>
        <row r="622">
          <cell r="C622" t="str">
            <v>TEKİRDAĞ</v>
          </cell>
          <cell r="D622" t="str">
            <v>ERGENE</v>
          </cell>
          <cell r="H622" t="str">
            <v>Dağıtım-OG</v>
          </cell>
          <cell r="I622" t="str">
            <v>Uzun</v>
          </cell>
          <cell r="J622" t="str">
            <v>Şebeke işletmecisi</v>
          </cell>
          <cell r="K622" t="str">
            <v>Bildirimli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599.5833333581686</v>
          </cell>
          <cell r="Z622">
            <v>0</v>
          </cell>
        </row>
        <row r="623">
          <cell r="C623" t="str">
            <v>EDİRNE</v>
          </cell>
          <cell r="D623" t="str">
            <v>KEŞAN</v>
          </cell>
          <cell r="H623" t="str">
            <v>Dağıtım-OG</v>
          </cell>
          <cell r="I623" t="str">
            <v>Uzun</v>
          </cell>
          <cell r="J623" t="str">
            <v>Şebeke işletmecisi</v>
          </cell>
          <cell r="K623" t="str">
            <v>Bildirimsiz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239.83333334326744</v>
          </cell>
          <cell r="Z623">
            <v>0</v>
          </cell>
        </row>
        <row r="624">
          <cell r="C624" t="str">
            <v>TEKİRDAĞ</v>
          </cell>
          <cell r="D624" t="str">
            <v>MURATLI</v>
          </cell>
          <cell r="H624" t="str">
            <v>Dağıtım-OG</v>
          </cell>
          <cell r="I624" t="str">
            <v>Uzun</v>
          </cell>
          <cell r="J624" t="str">
            <v>Şebeke işletmecisi</v>
          </cell>
          <cell r="K624" t="str">
            <v>Bildirimli</v>
          </cell>
          <cell r="O624">
            <v>0</v>
          </cell>
          <cell r="P624">
            <v>589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70621.100000630831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</row>
        <row r="625">
          <cell r="C625" t="str">
            <v>TEKİRDAĞ</v>
          </cell>
          <cell r="D625" t="str">
            <v>MURATLI</v>
          </cell>
          <cell r="H625" t="str">
            <v>Dağıtım-OG</v>
          </cell>
          <cell r="I625" t="str">
            <v>Uzun</v>
          </cell>
          <cell r="J625" t="str">
            <v>Şebeke işletmecisi</v>
          </cell>
          <cell r="K625" t="str">
            <v>Bildirimli</v>
          </cell>
          <cell r="O625">
            <v>0</v>
          </cell>
          <cell r="P625">
            <v>651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78033.200002445374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</row>
        <row r="626">
          <cell r="C626" t="str">
            <v>TEKİRDAĞ</v>
          </cell>
          <cell r="D626" t="str">
            <v>ÇORLU</v>
          </cell>
          <cell r="H626" t="str">
            <v>Dağıtım-OG</v>
          </cell>
          <cell r="I626" t="str">
            <v>Uzun</v>
          </cell>
          <cell r="J626" t="str">
            <v>Şebeke işletmecisi</v>
          </cell>
          <cell r="K626" t="str">
            <v>Bildirimli</v>
          </cell>
          <cell r="O626">
            <v>1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119.8499999998603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</row>
        <row r="627">
          <cell r="C627" t="str">
            <v>EDİRNE</v>
          </cell>
          <cell r="D627" t="str">
            <v>İPSALA</v>
          </cell>
          <cell r="H627" t="str">
            <v>Dağıtım-OG</v>
          </cell>
          <cell r="I627" t="str">
            <v>Uzun</v>
          </cell>
          <cell r="J627" t="str">
            <v>Şebeke işletmecisi</v>
          </cell>
          <cell r="K627" t="str">
            <v>Bildirimli</v>
          </cell>
          <cell r="O627">
            <v>0</v>
          </cell>
          <cell r="P627">
            <v>0</v>
          </cell>
          <cell r="Q627">
            <v>3</v>
          </cell>
          <cell r="R627">
            <v>0</v>
          </cell>
          <cell r="S627">
            <v>39</v>
          </cell>
          <cell r="T627">
            <v>0</v>
          </cell>
          <cell r="U627">
            <v>0</v>
          </cell>
          <cell r="V627">
            <v>0</v>
          </cell>
          <cell r="W627">
            <v>359.5499999995809</v>
          </cell>
          <cell r="X627">
            <v>0</v>
          </cell>
          <cell r="Y627">
            <v>4674.1499999945518</v>
          </cell>
          <cell r="Z627">
            <v>0</v>
          </cell>
        </row>
        <row r="628">
          <cell r="C628" t="str">
            <v>TEKİRDAĞ</v>
          </cell>
          <cell r="D628" t="str">
            <v>ERGENE</v>
          </cell>
          <cell r="H628" t="str">
            <v>Dağıtım-OG</v>
          </cell>
          <cell r="I628" t="str">
            <v>Uzun</v>
          </cell>
          <cell r="J628" t="str">
            <v>Şebeke işletmecisi</v>
          </cell>
          <cell r="K628" t="str">
            <v>Bildirimli</v>
          </cell>
          <cell r="O628">
            <v>24</v>
          </cell>
          <cell r="P628">
            <v>5778</v>
          </cell>
          <cell r="Q628">
            <v>0</v>
          </cell>
          <cell r="R628">
            <v>0</v>
          </cell>
          <cell r="S628">
            <v>0</v>
          </cell>
          <cell r="T628">
            <v>3</v>
          </cell>
          <cell r="U628">
            <v>2876.3999999966472</v>
          </cell>
          <cell r="V628">
            <v>692493.29999919282</v>
          </cell>
          <cell r="W628">
            <v>0</v>
          </cell>
          <cell r="X628">
            <v>0</v>
          </cell>
          <cell r="Y628">
            <v>0</v>
          </cell>
          <cell r="Z628">
            <v>359.5499999995809</v>
          </cell>
        </row>
        <row r="629">
          <cell r="C629" t="str">
            <v>TEKİRDAĞ</v>
          </cell>
          <cell r="D629" t="str">
            <v>SÜLEYMANPAŞA</v>
          </cell>
          <cell r="H629" t="str">
            <v>Dağıtım-OG</v>
          </cell>
          <cell r="I629" t="str">
            <v>Uzun</v>
          </cell>
          <cell r="J629" t="str">
            <v>Şebeke işletmecisi</v>
          </cell>
          <cell r="K629" t="str">
            <v>Bildirimli</v>
          </cell>
          <cell r="O629">
            <v>0</v>
          </cell>
          <cell r="P629">
            <v>144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17258.399999979883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</row>
        <row r="630">
          <cell r="C630" t="str">
            <v>TEKİRDAĞ</v>
          </cell>
          <cell r="D630" t="str">
            <v>ERGENE</v>
          </cell>
          <cell r="H630" t="str">
            <v>Dağıtım-OG</v>
          </cell>
          <cell r="I630" t="str">
            <v>Uzun</v>
          </cell>
          <cell r="J630" t="str">
            <v>Şebeke işletmecisi</v>
          </cell>
          <cell r="K630" t="str">
            <v>Bildirimli</v>
          </cell>
          <cell r="O630">
            <v>1</v>
          </cell>
          <cell r="P630">
            <v>0</v>
          </cell>
          <cell r="Q630">
            <v>0</v>
          </cell>
          <cell r="R630">
            <v>0</v>
          </cell>
          <cell r="S630">
            <v>2</v>
          </cell>
          <cell r="T630">
            <v>9</v>
          </cell>
          <cell r="U630">
            <v>119.8499999998603</v>
          </cell>
          <cell r="V630">
            <v>0</v>
          </cell>
          <cell r="W630">
            <v>0</v>
          </cell>
          <cell r="X630">
            <v>0</v>
          </cell>
          <cell r="Y630">
            <v>239.6999999997206</v>
          </cell>
          <cell r="Z630">
            <v>1078.6499999987427</v>
          </cell>
        </row>
        <row r="631">
          <cell r="C631" t="str">
            <v>TEKİRDAĞ</v>
          </cell>
          <cell r="D631" t="str">
            <v>ERGENE</v>
          </cell>
          <cell r="H631" t="str">
            <v>Dağıtım-AG</v>
          </cell>
          <cell r="I631" t="str">
            <v>Uzun</v>
          </cell>
          <cell r="J631" t="str">
            <v>Şebeke işletmecisi</v>
          </cell>
          <cell r="K631" t="str">
            <v>Bildirimsiz</v>
          </cell>
          <cell r="O631">
            <v>0</v>
          </cell>
          <cell r="P631">
            <v>80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9581.333333440125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C632" t="str">
            <v>TEKİRDAĞ</v>
          </cell>
          <cell r="D632" t="str">
            <v>MARMARAEREĞLİSİ</v>
          </cell>
          <cell r="H632" t="str">
            <v>Dağıtım-OG</v>
          </cell>
          <cell r="I632" t="str">
            <v>Uzun</v>
          </cell>
          <cell r="J632" t="str">
            <v>Şebeke işletmecisi</v>
          </cell>
          <cell r="K632" t="str">
            <v>Bildirimli</v>
          </cell>
          <cell r="O632">
            <v>0</v>
          </cell>
          <cell r="P632">
            <v>1</v>
          </cell>
          <cell r="Q632">
            <v>5</v>
          </cell>
          <cell r="R632">
            <v>85</v>
          </cell>
          <cell r="S632">
            <v>0</v>
          </cell>
          <cell r="T632">
            <v>0</v>
          </cell>
          <cell r="U632">
            <v>0</v>
          </cell>
          <cell r="V632">
            <v>119.74999999743886</v>
          </cell>
          <cell r="W632">
            <v>598.74999998719431</v>
          </cell>
          <cell r="X632">
            <v>10178.749999782303</v>
          </cell>
          <cell r="Y632">
            <v>0</v>
          </cell>
          <cell r="Z632">
            <v>0</v>
          </cell>
        </row>
        <row r="633">
          <cell r="C633" t="str">
            <v>TEKİRDAĞ</v>
          </cell>
          <cell r="D633" t="str">
            <v>ÇORLU</v>
          </cell>
          <cell r="H633" t="str">
            <v>Dağıtım-OG</v>
          </cell>
          <cell r="I633" t="str">
            <v>Uzun</v>
          </cell>
          <cell r="J633" t="str">
            <v>Şebeke işletmecisi</v>
          </cell>
          <cell r="K633" t="str">
            <v>Bildirimli</v>
          </cell>
          <cell r="O633">
            <v>15</v>
          </cell>
          <cell r="P633">
            <v>6</v>
          </cell>
          <cell r="Q633">
            <v>0</v>
          </cell>
          <cell r="R633">
            <v>0</v>
          </cell>
          <cell r="S633">
            <v>13</v>
          </cell>
          <cell r="T633">
            <v>0</v>
          </cell>
          <cell r="U633">
            <v>1794.9999999837019</v>
          </cell>
          <cell r="V633">
            <v>717.99999999348074</v>
          </cell>
          <cell r="W633">
            <v>0</v>
          </cell>
          <cell r="X633">
            <v>0</v>
          </cell>
          <cell r="Y633">
            <v>1555.6666666525416</v>
          </cell>
          <cell r="Z633">
            <v>0</v>
          </cell>
        </row>
        <row r="634">
          <cell r="C634" t="str">
            <v>KIRKLARELİ</v>
          </cell>
          <cell r="D634" t="str">
            <v>BABAESKİ</v>
          </cell>
          <cell r="H634" t="str">
            <v>Dağıtım-OG</v>
          </cell>
          <cell r="I634" t="str">
            <v>Uzun</v>
          </cell>
          <cell r="J634" t="str">
            <v>Şebeke işletmecisi</v>
          </cell>
          <cell r="K634" t="str">
            <v>Bildirimli</v>
          </cell>
          <cell r="O634">
            <v>0</v>
          </cell>
          <cell r="P634">
            <v>0</v>
          </cell>
          <cell r="Q634">
            <v>0</v>
          </cell>
          <cell r="R634">
            <v>104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12443.599999481812</v>
          </cell>
          <cell r="Y634">
            <v>0</v>
          </cell>
          <cell r="Z634">
            <v>0</v>
          </cell>
        </row>
        <row r="635">
          <cell r="C635" t="str">
            <v>TEKİRDAĞ</v>
          </cell>
          <cell r="D635" t="str">
            <v>ÇORLU</v>
          </cell>
          <cell r="H635" t="str">
            <v>Dağıtım-OG</v>
          </cell>
          <cell r="I635" t="str">
            <v>Uzun</v>
          </cell>
          <cell r="J635" t="str">
            <v>Şebeke işletmecisi</v>
          </cell>
          <cell r="K635" t="str">
            <v>Bildirimli</v>
          </cell>
          <cell r="O635">
            <v>7</v>
          </cell>
          <cell r="P635">
            <v>348</v>
          </cell>
          <cell r="Q635">
            <v>0</v>
          </cell>
          <cell r="R635">
            <v>0</v>
          </cell>
          <cell r="S635">
            <v>36</v>
          </cell>
          <cell r="T635">
            <v>1059</v>
          </cell>
          <cell r="U635">
            <v>837.31666672392748</v>
          </cell>
          <cell r="V635">
            <v>41626.600002846681</v>
          </cell>
          <cell r="W635">
            <v>0</v>
          </cell>
          <cell r="X635">
            <v>0</v>
          </cell>
          <cell r="Y635">
            <v>4306.2000002944842</v>
          </cell>
          <cell r="Z635">
            <v>126674.05000866274</v>
          </cell>
        </row>
        <row r="636">
          <cell r="C636" t="str">
            <v>EDİRNE</v>
          </cell>
          <cell r="D636" t="str">
            <v>İPSALA</v>
          </cell>
          <cell r="H636" t="str">
            <v>Dağıtım-AG</v>
          </cell>
          <cell r="I636" t="str">
            <v>Uzun</v>
          </cell>
          <cell r="J636" t="str">
            <v>Şebeke işletmecisi</v>
          </cell>
          <cell r="K636" t="str">
            <v>Bildirimsiz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1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119.39999999944121</v>
          </cell>
        </row>
        <row r="637">
          <cell r="C637" t="str">
            <v>TEKİRDAĞ</v>
          </cell>
          <cell r="D637" t="str">
            <v>ÇORLU</v>
          </cell>
          <cell r="H637" t="str">
            <v>Dağıtım-OG</v>
          </cell>
          <cell r="I637" t="str">
            <v>Uzun</v>
          </cell>
          <cell r="J637" t="str">
            <v>Şebeke işletmecisi</v>
          </cell>
          <cell r="K637" t="str">
            <v>Bildirimli</v>
          </cell>
          <cell r="O637">
            <v>7</v>
          </cell>
          <cell r="P637">
            <v>12174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834.86666666460223</v>
          </cell>
          <cell r="V637">
            <v>1451952.3999964097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8">
          <cell r="C638" t="str">
            <v>EDİRNE</v>
          </cell>
          <cell r="D638" t="str">
            <v>ENEZ</v>
          </cell>
          <cell r="H638" t="str">
            <v>Dağıtım-OG</v>
          </cell>
          <cell r="I638" t="str">
            <v>Uzun</v>
          </cell>
          <cell r="J638" t="str">
            <v>Şebeke işletmecisi</v>
          </cell>
          <cell r="K638" t="str">
            <v>Bildirimsiz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119.23333333572373</v>
          </cell>
          <cell r="Z638">
            <v>0</v>
          </cell>
        </row>
        <row r="639">
          <cell r="C639" t="str">
            <v>TEKİRDAĞ</v>
          </cell>
          <cell r="D639" t="str">
            <v>ÇORLU</v>
          </cell>
          <cell r="H639" t="str">
            <v>Dağıtım-AG</v>
          </cell>
          <cell r="I639" t="str">
            <v>Uzun</v>
          </cell>
          <cell r="J639" t="str">
            <v>Dışsal</v>
          </cell>
          <cell r="K639" t="str">
            <v>Bildirimsiz</v>
          </cell>
          <cell r="O639">
            <v>0</v>
          </cell>
          <cell r="P639">
            <v>1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119.13333333330229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</row>
        <row r="640">
          <cell r="C640" t="str">
            <v>TEKİRDAĞ</v>
          </cell>
          <cell r="D640" t="str">
            <v>ÇORLU</v>
          </cell>
          <cell r="H640" t="str">
            <v>Dağıtım-AG</v>
          </cell>
          <cell r="I640" t="str">
            <v>Uzun</v>
          </cell>
          <cell r="J640" t="str">
            <v>Şebeke işletmecisi</v>
          </cell>
          <cell r="K640" t="str">
            <v>Bildirimsiz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17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2024.7000000451226</v>
          </cell>
        </row>
        <row r="641">
          <cell r="C641" t="str">
            <v>TEKİRDAĞ</v>
          </cell>
          <cell r="D641" t="str">
            <v>ERGENE</v>
          </cell>
          <cell r="H641" t="str">
            <v>Dağıtım-OG</v>
          </cell>
          <cell r="I641" t="str">
            <v>Uzun</v>
          </cell>
          <cell r="J641" t="str">
            <v>Şebeke işletmecisi</v>
          </cell>
          <cell r="K641" t="str">
            <v>Bildirimsiz</v>
          </cell>
          <cell r="O641">
            <v>1</v>
          </cell>
          <cell r="P641">
            <v>3</v>
          </cell>
          <cell r="Q641">
            <v>0</v>
          </cell>
          <cell r="R641">
            <v>0</v>
          </cell>
          <cell r="S641">
            <v>2</v>
          </cell>
          <cell r="T641">
            <v>755</v>
          </cell>
          <cell r="U641">
            <v>119.00000000023283</v>
          </cell>
          <cell r="V641">
            <v>357.00000000069849</v>
          </cell>
          <cell r="W641">
            <v>0</v>
          </cell>
          <cell r="X641">
            <v>0</v>
          </cell>
          <cell r="Y641">
            <v>238.00000000046566</v>
          </cell>
          <cell r="Z641">
            <v>89845.000000175787</v>
          </cell>
        </row>
        <row r="642">
          <cell r="C642" t="str">
            <v>TEKİRDAĞ</v>
          </cell>
          <cell r="D642" t="str">
            <v>ERGENE</v>
          </cell>
          <cell r="H642" t="str">
            <v>Dağıtım-OG</v>
          </cell>
          <cell r="I642" t="str">
            <v>Uzun</v>
          </cell>
          <cell r="J642" t="str">
            <v>Şebeke işletmecisi</v>
          </cell>
          <cell r="K642" t="str">
            <v>Bildirimli</v>
          </cell>
          <cell r="O642">
            <v>5</v>
          </cell>
          <cell r="P642">
            <v>0</v>
          </cell>
          <cell r="Q642">
            <v>0</v>
          </cell>
          <cell r="R642">
            <v>0</v>
          </cell>
          <cell r="S642">
            <v>4</v>
          </cell>
          <cell r="T642">
            <v>0</v>
          </cell>
          <cell r="U642">
            <v>594.91666664835066</v>
          </cell>
          <cell r="V642">
            <v>0</v>
          </cell>
          <cell r="W642">
            <v>0</v>
          </cell>
          <cell r="X642">
            <v>0</v>
          </cell>
          <cell r="Y642">
            <v>475.93333331868052</v>
          </cell>
          <cell r="Z642">
            <v>0</v>
          </cell>
        </row>
        <row r="643">
          <cell r="C643" t="str">
            <v>EDİRNE</v>
          </cell>
          <cell r="D643" t="str">
            <v>EDİRNEMERKEZ</v>
          </cell>
          <cell r="H643" t="str">
            <v>Dağıtım-AG</v>
          </cell>
          <cell r="I643" t="str">
            <v>Uzun</v>
          </cell>
          <cell r="J643" t="str">
            <v>Şebeke işletmecisi</v>
          </cell>
          <cell r="K643" t="str">
            <v>Bildirimsiz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10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1187.3333333409391</v>
          </cell>
        </row>
        <row r="644">
          <cell r="C644" t="str">
            <v>TEKİRDAĞ</v>
          </cell>
          <cell r="D644" t="str">
            <v>ERGENE</v>
          </cell>
          <cell r="H644" t="str">
            <v>Dağıtım-OG</v>
          </cell>
          <cell r="I644" t="str">
            <v>Uzun</v>
          </cell>
          <cell r="J644" t="str">
            <v>Şebeke işletmecisi</v>
          </cell>
          <cell r="K644" t="str">
            <v>Bildirimli</v>
          </cell>
          <cell r="O644">
            <v>39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4630.6000000296626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</row>
        <row r="645">
          <cell r="C645" t="str">
            <v>KIRKLARELİ</v>
          </cell>
          <cell r="D645" t="str">
            <v>PEHLİVANKÖY</v>
          </cell>
          <cell r="H645" t="str">
            <v>Dağıtım-AG</v>
          </cell>
          <cell r="I645" t="str">
            <v>Uzun</v>
          </cell>
          <cell r="J645" t="str">
            <v>Şebeke işletmecisi</v>
          </cell>
          <cell r="K645" t="str">
            <v>Bildirimsiz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83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9853.4833339427132</v>
          </cell>
        </row>
        <row r="646">
          <cell r="C646" t="str">
            <v>TEKİRDAĞ</v>
          </cell>
          <cell r="D646" t="str">
            <v>MURATLI</v>
          </cell>
          <cell r="H646" t="str">
            <v>Dağıtım-OG</v>
          </cell>
          <cell r="I646" t="str">
            <v>Uzun</v>
          </cell>
          <cell r="J646" t="str">
            <v>Şebeke işletmecisi</v>
          </cell>
          <cell r="K646" t="str">
            <v>Bildirimli</v>
          </cell>
          <cell r="O646">
            <v>0</v>
          </cell>
          <cell r="P646">
            <v>87</v>
          </cell>
          <cell r="Q646">
            <v>0</v>
          </cell>
          <cell r="R646">
            <v>7</v>
          </cell>
          <cell r="S646">
            <v>0</v>
          </cell>
          <cell r="T646">
            <v>196</v>
          </cell>
          <cell r="U646">
            <v>0</v>
          </cell>
          <cell r="V646">
            <v>10309.499999878462</v>
          </cell>
          <cell r="W646">
            <v>0</v>
          </cell>
          <cell r="X646">
            <v>829.49999999022111</v>
          </cell>
          <cell r="Y646">
            <v>0</v>
          </cell>
          <cell r="Z646">
            <v>23225.999999726191</v>
          </cell>
        </row>
        <row r="647">
          <cell r="C647" t="str">
            <v>TEKİRDAĞ</v>
          </cell>
          <cell r="D647" t="str">
            <v>ŞARKÖY</v>
          </cell>
          <cell r="H647" t="str">
            <v>Dağıtım-AG</v>
          </cell>
          <cell r="I647" t="str">
            <v>Uzun</v>
          </cell>
          <cell r="J647" t="str">
            <v>Şebeke işletmecisi</v>
          </cell>
          <cell r="K647" t="str">
            <v>Bildirimsiz</v>
          </cell>
          <cell r="O647">
            <v>0</v>
          </cell>
          <cell r="P647">
            <v>0</v>
          </cell>
          <cell r="Q647">
            <v>0</v>
          </cell>
          <cell r="R647">
            <v>43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5093.3499998878688</v>
          </cell>
          <cell r="Y647">
            <v>0</v>
          </cell>
          <cell r="Z647">
            <v>0</v>
          </cell>
        </row>
        <row r="648">
          <cell r="C648" t="str">
            <v>TEKİRDAĞ</v>
          </cell>
          <cell r="D648" t="str">
            <v>ÇORLU</v>
          </cell>
          <cell r="H648" t="str">
            <v>Dağıtım-OG</v>
          </cell>
          <cell r="I648" t="str">
            <v>Uzun</v>
          </cell>
          <cell r="J648" t="str">
            <v>Şebeke işletmecisi</v>
          </cell>
          <cell r="K648" t="str">
            <v>Bildirimli</v>
          </cell>
          <cell r="O648">
            <v>13</v>
          </cell>
          <cell r="P648">
            <v>6</v>
          </cell>
          <cell r="Q648">
            <v>0</v>
          </cell>
          <cell r="R648">
            <v>0</v>
          </cell>
          <cell r="S648">
            <v>3</v>
          </cell>
          <cell r="T648">
            <v>0</v>
          </cell>
          <cell r="U648">
            <v>1539.1999999503605</v>
          </cell>
          <cell r="V648">
            <v>710.39999997708946</v>
          </cell>
          <cell r="W648">
            <v>0</v>
          </cell>
          <cell r="X648">
            <v>0</v>
          </cell>
          <cell r="Y648">
            <v>355.19999998854473</v>
          </cell>
          <cell r="Z648">
            <v>0</v>
          </cell>
        </row>
        <row r="649">
          <cell r="C649" t="str">
            <v>TEKİRDAĞ</v>
          </cell>
          <cell r="D649" t="str">
            <v>SÜLEYMANPAŞA</v>
          </cell>
          <cell r="H649" t="str">
            <v>Dağıtım-AG</v>
          </cell>
          <cell r="I649" t="str">
            <v>Uzun</v>
          </cell>
          <cell r="J649" t="str">
            <v>Dışsal</v>
          </cell>
          <cell r="K649" t="str">
            <v>Bildirimsiz</v>
          </cell>
          <cell r="O649">
            <v>0</v>
          </cell>
          <cell r="P649">
            <v>81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9559.350000070408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</row>
        <row r="650">
          <cell r="C650" t="str">
            <v>TEKİRDAĞ</v>
          </cell>
          <cell r="D650" t="str">
            <v>HAYRABOLU</v>
          </cell>
          <cell r="H650" t="str">
            <v>Dağıtım-OG</v>
          </cell>
          <cell r="I650" t="str">
            <v>Uzun</v>
          </cell>
          <cell r="J650" t="str">
            <v>Şebeke işletmecisi</v>
          </cell>
          <cell r="K650" t="str">
            <v>Bildirimli</v>
          </cell>
          <cell r="O650">
            <v>0</v>
          </cell>
          <cell r="P650">
            <v>0</v>
          </cell>
          <cell r="Q650">
            <v>4</v>
          </cell>
          <cell r="R650">
            <v>205</v>
          </cell>
          <cell r="S650">
            <v>2</v>
          </cell>
          <cell r="T650">
            <v>0</v>
          </cell>
          <cell r="U650">
            <v>0</v>
          </cell>
          <cell r="V650">
            <v>0</v>
          </cell>
          <cell r="W650">
            <v>471.73333334270865</v>
          </cell>
          <cell r="X650">
            <v>24176.333333813818</v>
          </cell>
          <cell r="Y650">
            <v>235.86666667135432</v>
          </cell>
          <cell r="Z650">
            <v>0</v>
          </cell>
        </row>
        <row r="651">
          <cell r="C651" t="str">
            <v>TEKİRDAĞ</v>
          </cell>
          <cell r="D651" t="str">
            <v>MARMARAEREĞLİSİ</v>
          </cell>
          <cell r="H651" t="str">
            <v>Dağıtım-AG</v>
          </cell>
          <cell r="I651" t="str">
            <v>Uzun</v>
          </cell>
          <cell r="J651" t="str">
            <v>Dışsal</v>
          </cell>
          <cell r="K651" t="str">
            <v>Bildirimsiz</v>
          </cell>
          <cell r="O651">
            <v>0</v>
          </cell>
          <cell r="P651">
            <v>0</v>
          </cell>
          <cell r="Q651">
            <v>0</v>
          </cell>
          <cell r="R651">
            <v>46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5416.5000000642613</v>
          </cell>
          <cell r="Y651">
            <v>0</v>
          </cell>
          <cell r="Z651">
            <v>0</v>
          </cell>
        </row>
        <row r="652">
          <cell r="C652" t="str">
            <v>TEKİRDAĞ</v>
          </cell>
          <cell r="D652" t="str">
            <v>MURATLI</v>
          </cell>
          <cell r="H652" t="str">
            <v>Dağıtım-OG</v>
          </cell>
          <cell r="I652" t="str">
            <v>Uzun</v>
          </cell>
          <cell r="J652" t="str">
            <v>Şebeke işletmecisi</v>
          </cell>
          <cell r="K652" t="str">
            <v>Bildirimli</v>
          </cell>
          <cell r="O652">
            <v>1</v>
          </cell>
          <cell r="P652">
            <v>1097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117.63333333889022</v>
          </cell>
          <cell r="V652">
            <v>129043.76667276258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3">
          <cell r="C653" t="str">
            <v>EDİRNE</v>
          </cell>
          <cell r="D653" t="str">
            <v>UZUNKÖPRÜ</v>
          </cell>
          <cell r="H653" t="str">
            <v>Dağıtım-AG</v>
          </cell>
          <cell r="I653" t="str">
            <v>Uzun</v>
          </cell>
          <cell r="J653" t="str">
            <v>Şebeke işletmecisi</v>
          </cell>
          <cell r="K653" t="str">
            <v>Bildirimsiz</v>
          </cell>
          <cell r="O653">
            <v>0</v>
          </cell>
          <cell r="P653">
            <v>23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2705.5666665534955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</row>
        <row r="654">
          <cell r="C654" t="str">
            <v>TEKİRDAĞ</v>
          </cell>
          <cell r="D654" t="str">
            <v>ÇERKEZKÖY</v>
          </cell>
          <cell r="H654" t="str">
            <v>Dağıtım-OG</v>
          </cell>
          <cell r="I654" t="str">
            <v>Uzun</v>
          </cell>
          <cell r="J654" t="str">
            <v>Şebeke işletmecisi</v>
          </cell>
          <cell r="K654" t="str">
            <v>Bildirimsiz</v>
          </cell>
          <cell r="O654">
            <v>2</v>
          </cell>
          <cell r="P654">
            <v>2682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234.86666666809469</v>
          </cell>
          <cell r="V654">
            <v>314956.20000191499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</row>
        <row r="655">
          <cell r="C655" t="str">
            <v>TEKİRDAĞ</v>
          </cell>
          <cell r="D655" t="str">
            <v>SÜLEYMANPAŞA</v>
          </cell>
          <cell r="H655" t="str">
            <v>Dağıtım-AG</v>
          </cell>
          <cell r="I655" t="str">
            <v>Uzun</v>
          </cell>
          <cell r="J655" t="str">
            <v>Şebeke işletmecisi</v>
          </cell>
          <cell r="K655" t="str">
            <v>Bildirimsiz</v>
          </cell>
          <cell r="O655">
            <v>0</v>
          </cell>
          <cell r="P655">
            <v>14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1641.4999999967404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</row>
        <row r="656">
          <cell r="C656" t="str">
            <v>TEKİRDAĞ</v>
          </cell>
          <cell r="D656" t="str">
            <v>ERGENE</v>
          </cell>
          <cell r="H656" t="str">
            <v>Dağıtım-OG</v>
          </cell>
          <cell r="I656" t="str">
            <v>Uzun</v>
          </cell>
          <cell r="J656" t="str">
            <v>Şebeke işletmecisi</v>
          </cell>
          <cell r="K656" t="str">
            <v>Bildirimsiz</v>
          </cell>
          <cell r="O656">
            <v>18</v>
          </cell>
          <cell r="P656">
            <v>0</v>
          </cell>
          <cell r="Q656">
            <v>0</v>
          </cell>
          <cell r="R656">
            <v>0</v>
          </cell>
          <cell r="S656">
            <v>3</v>
          </cell>
          <cell r="T656">
            <v>0</v>
          </cell>
          <cell r="U656">
            <v>2100.5999999446794</v>
          </cell>
          <cell r="V656">
            <v>0</v>
          </cell>
          <cell r="W656">
            <v>0</v>
          </cell>
          <cell r="X656">
            <v>0</v>
          </cell>
          <cell r="Y656">
            <v>350.09999999077991</v>
          </cell>
          <cell r="Z656">
            <v>0</v>
          </cell>
        </row>
        <row r="657">
          <cell r="C657" t="str">
            <v>TEKİRDAĞ</v>
          </cell>
          <cell r="D657" t="str">
            <v>MALKARA</v>
          </cell>
          <cell r="H657" t="str">
            <v>Dağıtım-AG</v>
          </cell>
          <cell r="I657" t="str">
            <v>Uzun</v>
          </cell>
          <cell r="J657" t="str">
            <v>Şebeke işletmecisi</v>
          </cell>
          <cell r="K657" t="str">
            <v>Bildirimsiz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3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349.65000001131557</v>
          </cell>
        </row>
        <row r="658">
          <cell r="C658" t="str">
            <v>EDİRNE</v>
          </cell>
          <cell r="D658" t="str">
            <v>UZUNKÖPRÜ</v>
          </cell>
          <cell r="H658" t="str">
            <v>Dağıtım-OG</v>
          </cell>
          <cell r="I658" t="str">
            <v>Uzun</v>
          </cell>
          <cell r="J658" t="str">
            <v>Şebeke işletmecisi</v>
          </cell>
          <cell r="K658" t="str">
            <v>Bildirimsiz</v>
          </cell>
          <cell r="O658">
            <v>5</v>
          </cell>
          <cell r="P658">
            <v>0</v>
          </cell>
          <cell r="Q658">
            <v>0</v>
          </cell>
          <cell r="R658">
            <v>0</v>
          </cell>
          <cell r="S658">
            <v>3</v>
          </cell>
          <cell r="T658">
            <v>0</v>
          </cell>
          <cell r="U658">
            <v>582.75000001885928</v>
          </cell>
          <cell r="V658">
            <v>0</v>
          </cell>
          <cell r="W658">
            <v>0</v>
          </cell>
          <cell r="X658">
            <v>0</v>
          </cell>
          <cell r="Y658">
            <v>349.65000001131557</v>
          </cell>
          <cell r="Z658">
            <v>0</v>
          </cell>
        </row>
        <row r="659">
          <cell r="C659" t="str">
            <v>KIRKLARELİ</v>
          </cell>
          <cell r="D659" t="str">
            <v>KIRKLARELİMERKEZ</v>
          </cell>
          <cell r="H659" t="str">
            <v>Dağıtım-AG</v>
          </cell>
          <cell r="I659" t="str">
            <v>Uzun</v>
          </cell>
          <cell r="J659" t="str">
            <v>Şebeke işletmecisi</v>
          </cell>
          <cell r="K659" t="str">
            <v>Bildirimsiz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195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22727.249998692423</v>
          </cell>
        </row>
        <row r="660">
          <cell r="C660" t="str">
            <v>EDİRNE</v>
          </cell>
          <cell r="D660" t="str">
            <v>KEŞAN</v>
          </cell>
          <cell r="H660" t="str">
            <v>Dağıtım-AG</v>
          </cell>
          <cell r="I660" t="str">
            <v>Uzun</v>
          </cell>
          <cell r="J660" t="str">
            <v>Şebeke işletmecisi</v>
          </cell>
          <cell r="K660" t="str">
            <v>Bildirimsiz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1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116.4000000001397</v>
          </cell>
        </row>
        <row r="661">
          <cell r="C661" t="str">
            <v>KIRKLARELİ</v>
          </cell>
          <cell r="D661" t="str">
            <v>PEHLİVANKÖY</v>
          </cell>
          <cell r="H661" t="str">
            <v>Dağıtım-OG</v>
          </cell>
          <cell r="I661" t="str">
            <v>Uzun</v>
          </cell>
          <cell r="J661" t="str">
            <v>Şebeke işletmecisi</v>
          </cell>
          <cell r="K661" t="str">
            <v>Bildirimli</v>
          </cell>
          <cell r="O661">
            <v>0</v>
          </cell>
          <cell r="P661">
            <v>0</v>
          </cell>
          <cell r="Q661">
            <v>0</v>
          </cell>
          <cell r="R661">
            <v>85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9869.9166672828142</v>
          </cell>
          <cell r="Y661">
            <v>0</v>
          </cell>
          <cell r="Z661">
            <v>0</v>
          </cell>
        </row>
        <row r="662">
          <cell r="C662" t="str">
            <v>EDİRNE</v>
          </cell>
          <cell r="D662" t="str">
            <v>KEŞAN</v>
          </cell>
          <cell r="H662" t="str">
            <v>Dağıtım-AG</v>
          </cell>
          <cell r="I662" t="str">
            <v>Uzun</v>
          </cell>
          <cell r="J662" t="str">
            <v>Şebeke işletmecisi</v>
          </cell>
          <cell r="K662" t="str">
            <v>Bildirimsiz</v>
          </cell>
          <cell r="O662">
            <v>0</v>
          </cell>
          <cell r="P662">
            <v>128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14848.000000119209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</row>
        <row r="663">
          <cell r="C663" t="str">
            <v>TEKİRDAĞ</v>
          </cell>
          <cell r="D663" t="str">
            <v>MARMARAEREĞLİSİ</v>
          </cell>
          <cell r="H663" t="str">
            <v>Dağıtım-AG</v>
          </cell>
          <cell r="I663" t="str">
            <v>Uzun</v>
          </cell>
          <cell r="J663" t="str">
            <v>Şebeke İşletmecisi</v>
          </cell>
          <cell r="K663" t="str">
            <v>Bildirimsiz</v>
          </cell>
          <cell r="O663">
            <v>0</v>
          </cell>
          <cell r="P663">
            <v>0</v>
          </cell>
          <cell r="Q663">
            <v>0</v>
          </cell>
          <cell r="R663">
            <v>28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3245.6666667340323</v>
          </cell>
          <cell r="Y663">
            <v>0</v>
          </cell>
          <cell r="Z663">
            <v>0</v>
          </cell>
        </row>
        <row r="664">
          <cell r="C664" t="str">
            <v>TEKİRDAĞ</v>
          </cell>
          <cell r="D664" t="str">
            <v>ÇORLU</v>
          </cell>
          <cell r="H664" t="str">
            <v>Dağıtım-OG</v>
          </cell>
          <cell r="I664" t="str">
            <v>Uzun</v>
          </cell>
          <cell r="J664" t="str">
            <v>Şebeke işletmecisi</v>
          </cell>
          <cell r="K664" t="str">
            <v>Bildirimli</v>
          </cell>
          <cell r="O664">
            <v>102</v>
          </cell>
          <cell r="P664">
            <v>399</v>
          </cell>
          <cell r="Q664">
            <v>0</v>
          </cell>
          <cell r="R664">
            <v>0</v>
          </cell>
          <cell r="S664">
            <v>7</v>
          </cell>
          <cell r="T664">
            <v>324</v>
          </cell>
          <cell r="U664">
            <v>11823.500000245403</v>
          </cell>
          <cell r="V664">
            <v>46250.750000959961</v>
          </cell>
          <cell r="W664">
            <v>0</v>
          </cell>
          <cell r="X664">
            <v>0</v>
          </cell>
          <cell r="Y664">
            <v>811.41666668350808</v>
          </cell>
          <cell r="Z664">
            <v>37557.000000779517</v>
          </cell>
        </row>
        <row r="665">
          <cell r="C665" t="str">
            <v>TEKİRDAĞ</v>
          </cell>
          <cell r="D665" t="str">
            <v>ÇORLU</v>
          </cell>
          <cell r="H665" t="str">
            <v>Dağıtım-OG</v>
          </cell>
          <cell r="I665" t="str">
            <v>Uzun</v>
          </cell>
          <cell r="J665" t="str">
            <v>Şebeke işletmecisi</v>
          </cell>
          <cell r="K665" t="str">
            <v>Bildirimli</v>
          </cell>
          <cell r="O665">
            <v>102</v>
          </cell>
          <cell r="P665">
            <v>399</v>
          </cell>
          <cell r="Q665">
            <v>0</v>
          </cell>
          <cell r="R665">
            <v>0</v>
          </cell>
          <cell r="S665">
            <v>7</v>
          </cell>
          <cell r="T665">
            <v>324</v>
          </cell>
          <cell r="U665">
            <v>11820.099999450613</v>
          </cell>
          <cell r="V665">
            <v>46237.449997850927</v>
          </cell>
          <cell r="W665">
            <v>0</v>
          </cell>
          <cell r="X665">
            <v>0</v>
          </cell>
          <cell r="Y665">
            <v>811.18333329563029</v>
          </cell>
          <cell r="Z665">
            <v>37546.199998254888</v>
          </cell>
        </row>
        <row r="666">
          <cell r="C666" t="str">
            <v>TEKİRDAĞ</v>
          </cell>
          <cell r="D666" t="str">
            <v>ÇORLU</v>
          </cell>
          <cell r="H666" t="str">
            <v>Dağıtım-OG</v>
          </cell>
          <cell r="I666" t="str">
            <v>Uzun</v>
          </cell>
          <cell r="J666" t="str">
            <v>Şebeke işletmecisi</v>
          </cell>
          <cell r="K666" t="str">
            <v>Bildirimsiz</v>
          </cell>
          <cell r="O666">
            <v>0</v>
          </cell>
          <cell r="P666">
            <v>881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101784.86667291611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</row>
        <row r="667">
          <cell r="C667" t="str">
            <v>TEKİRDAĞ</v>
          </cell>
          <cell r="D667" t="str">
            <v>SÜLEYMANPAŞA</v>
          </cell>
          <cell r="H667" t="str">
            <v>Dağıtım-AG</v>
          </cell>
          <cell r="I667" t="str">
            <v>Uzun</v>
          </cell>
          <cell r="J667" t="str">
            <v>Şebeke işletmecisi</v>
          </cell>
          <cell r="K667" t="str">
            <v>Bildirimsiz</v>
          </cell>
          <cell r="O667">
            <v>0</v>
          </cell>
          <cell r="P667">
            <v>2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230.86666667601094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</row>
        <row r="668">
          <cell r="C668" t="str">
            <v>TEKİRDAĞ</v>
          </cell>
          <cell r="D668" t="str">
            <v>MARMARAEREĞLİSİ</v>
          </cell>
          <cell r="H668" t="str">
            <v>Dağıtım-AG</v>
          </cell>
          <cell r="I668" t="str">
            <v>Uzun</v>
          </cell>
          <cell r="J668" t="str">
            <v>Şebeke işletmecisi</v>
          </cell>
          <cell r="K668" t="str">
            <v>Bildirimsiz</v>
          </cell>
          <cell r="O668">
            <v>0</v>
          </cell>
          <cell r="P668">
            <v>7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806.75000002607703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</row>
        <row r="669">
          <cell r="C669" t="str">
            <v>KIRKLARELİ</v>
          </cell>
          <cell r="D669" t="str">
            <v>LÜLEBURGAZ</v>
          </cell>
          <cell r="H669" t="str">
            <v>Dağıtım-OG</v>
          </cell>
          <cell r="I669" t="str">
            <v>Uzun</v>
          </cell>
          <cell r="J669" t="str">
            <v>Şebeke işletmecisi</v>
          </cell>
          <cell r="K669" t="str">
            <v>Bildirimsiz</v>
          </cell>
          <cell r="O669">
            <v>0</v>
          </cell>
          <cell r="P669">
            <v>1</v>
          </cell>
          <cell r="Q669">
            <v>0</v>
          </cell>
          <cell r="R669">
            <v>0</v>
          </cell>
          <cell r="S669">
            <v>3</v>
          </cell>
          <cell r="T669">
            <v>232</v>
          </cell>
          <cell r="U669">
            <v>0</v>
          </cell>
          <cell r="V669">
            <v>115.24999999324791</v>
          </cell>
          <cell r="W669">
            <v>0</v>
          </cell>
          <cell r="X669">
            <v>0</v>
          </cell>
          <cell r="Y669">
            <v>345.74999997974373</v>
          </cell>
          <cell r="Z669">
            <v>26737.999998433515</v>
          </cell>
        </row>
        <row r="670">
          <cell r="C670" t="str">
            <v>EDİRNE</v>
          </cell>
          <cell r="D670" t="str">
            <v>İPSALA</v>
          </cell>
          <cell r="H670" t="str">
            <v>Dağıtım-OG</v>
          </cell>
          <cell r="I670" t="str">
            <v>Uzun</v>
          </cell>
          <cell r="J670" t="str">
            <v>Şebeke işletmecisi</v>
          </cell>
          <cell r="K670" t="str">
            <v>Bildirimsiz</v>
          </cell>
          <cell r="O670">
            <v>0</v>
          </cell>
          <cell r="P670">
            <v>0</v>
          </cell>
          <cell r="Q670">
            <v>1</v>
          </cell>
          <cell r="R670">
            <v>0</v>
          </cell>
          <cell r="S670">
            <v>11</v>
          </cell>
          <cell r="T670">
            <v>0</v>
          </cell>
          <cell r="U670">
            <v>0</v>
          </cell>
          <cell r="V670">
            <v>0</v>
          </cell>
          <cell r="W670">
            <v>115.18333333195187</v>
          </cell>
          <cell r="X670">
            <v>0</v>
          </cell>
          <cell r="Y670">
            <v>1267.0166666514706</v>
          </cell>
          <cell r="Z670">
            <v>0</v>
          </cell>
        </row>
        <row r="671">
          <cell r="C671" t="str">
            <v>TEKİRDAĞ</v>
          </cell>
          <cell r="D671" t="str">
            <v>MARMARAEREĞLİSİ</v>
          </cell>
          <cell r="H671" t="str">
            <v>Dağıtım-AG</v>
          </cell>
          <cell r="I671" t="str">
            <v>Uzun</v>
          </cell>
          <cell r="J671" t="str">
            <v>Şebeke işletmecisi</v>
          </cell>
          <cell r="K671" t="str">
            <v>Bildirimsiz</v>
          </cell>
          <cell r="O671">
            <v>0</v>
          </cell>
          <cell r="P671">
            <v>0</v>
          </cell>
          <cell r="Q671">
            <v>0</v>
          </cell>
          <cell r="R671">
            <v>11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1265.5499999877065</v>
          </cell>
          <cell r="Y671">
            <v>0</v>
          </cell>
          <cell r="Z671">
            <v>0</v>
          </cell>
        </row>
        <row r="672">
          <cell r="C672" t="str">
            <v>TEKİRDAĞ</v>
          </cell>
          <cell r="D672" t="str">
            <v>ÇERKEZKÖY</v>
          </cell>
          <cell r="H672" t="str">
            <v>Dağıtım-AG</v>
          </cell>
          <cell r="I672" t="str">
            <v>Uzun</v>
          </cell>
          <cell r="J672" t="str">
            <v>Şebeke işletmecisi</v>
          </cell>
          <cell r="K672" t="str">
            <v>Bildirimsiz</v>
          </cell>
          <cell r="O672">
            <v>0</v>
          </cell>
          <cell r="P672">
            <v>17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1953.2999999192543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</row>
        <row r="673">
          <cell r="C673" t="str">
            <v>EDİRNE</v>
          </cell>
          <cell r="D673" t="str">
            <v>HAVSA</v>
          </cell>
          <cell r="H673" t="str">
            <v>Dağıtım-AG</v>
          </cell>
          <cell r="I673" t="str">
            <v>Uzun</v>
          </cell>
          <cell r="J673" t="str">
            <v>Şebeke işletmecisi</v>
          </cell>
          <cell r="K673" t="str">
            <v>Bildirimsiz</v>
          </cell>
          <cell r="O673">
            <v>0</v>
          </cell>
          <cell r="P673">
            <v>0</v>
          </cell>
          <cell r="Q673">
            <v>0</v>
          </cell>
          <cell r="R673">
            <v>11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1262.8000000363681</v>
          </cell>
          <cell r="Y673">
            <v>0</v>
          </cell>
          <cell r="Z673">
            <v>0</v>
          </cell>
        </row>
        <row r="674">
          <cell r="C674" t="str">
            <v>TEKİRDAĞ</v>
          </cell>
          <cell r="D674" t="str">
            <v>KAPAKLI</v>
          </cell>
          <cell r="H674" t="str">
            <v>Dağıtım-OG</v>
          </cell>
          <cell r="I674" t="str">
            <v>Uzun</v>
          </cell>
          <cell r="J674" t="str">
            <v>Şebeke işletmecisi</v>
          </cell>
          <cell r="K674" t="str">
            <v>Bildirimsiz</v>
          </cell>
          <cell r="O674">
            <v>7</v>
          </cell>
          <cell r="P674">
            <v>1899</v>
          </cell>
          <cell r="Q674">
            <v>0</v>
          </cell>
          <cell r="R674">
            <v>0</v>
          </cell>
          <cell r="S674">
            <v>0</v>
          </cell>
          <cell r="T674">
            <v>2</v>
          </cell>
          <cell r="U674">
            <v>803.48333340254612</v>
          </cell>
          <cell r="V674">
            <v>217973.55001877644</v>
          </cell>
          <cell r="W674">
            <v>0</v>
          </cell>
          <cell r="X674">
            <v>0</v>
          </cell>
          <cell r="Y674">
            <v>0</v>
          </cell>
          <cell r="Z674">
            <v>229.56666668644175</v>
          </cell>
        </row>
        <row r="675">
          <cell r="C675" t="str">
            <v>TEKİRDAĞ</v>
          </cell>
          <cell r="D675" t="str">
            <v>HAYRABOLU</v>
          </cell>
          <cell r="H675" t="str">
            <v>Dağıtım-OG</v>
          </cell>
          <cell r="I675" t="str">
            <v>Uzun</v>
          </cell>
          <cell r="J675" t="str">
            <v>Şebeke işletmecisi</v>
          </cell>
          <cell r="K675" t="str">
            <v>Bildirimsiz</v>
          </cell>
          <cell r="O675">
            <v>0</v>
          </cell>
          <cell r="P675">
            <v>0</v>
          </cell>
          <cell r="Q675">
            <v>1</v>
          </cell>
          <cell r="R675">
            <v>0</v>
          </cell>
          <cell r="S675">
            <v>3</v>
          </cell>
          <cell r="T675">
            <v>0</v>
          </cell>
          <cell r="U675">
            <v>0</v>
          </cell>
          <cell r="V675">
            <v>0</v>
          </cell>
          <cell r="W675">
            <v>114.7833333327435</v>
          </cell>
          <cell r="X675">
            <v>0</v>
          </cell>
          <cell r="Y675">
            <v>344.34999999823049</v>
          </cell>
          <cell r="Z675">
            <v>0</v>
          </cell>
        </row>
        <row r="676">
          <cell r="C676" t="str">
            <v>TEKİRDAĞ</v>
          </cell>
          <cell r="D676" t="str">
            <v>SARAY</v>
          </cell>
          <cell r="H676" t="str">
            <v>Dağıtım-AG</v>
          </cell>
          <cell r="I676" t="str">
            <v>Uzun</v>
          </cell>
          <cell r="J676" t="str">
            <v>Şebeke İşletmecisi</v>
          </cell>
          <cell r="K676" t="str">
            <v>Bildirimsiz</v>
          </cell>
          <cell r="O676">
            <v>0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114.64999999967404</v>
          </cell>
          <cell r="Y676">
            <v>0</v>
          </cell>
          <cell r="Z676">
            <v>0</v>
          </cell>
        </row>
        <row r="677">
          <cell r="C677" t="str">
            <v>TEKİRDAĞ</v>
          </cell>
          <cell r="D677" t="str">
            <v>MALKARA</v>
          </cell>
          <cell r="H677" t="str">
            <v>Dağıtım-OG</v>
          </cell>
          <cell r="I677" t="str">
            <v>Uzun</v>
          </cell>
          <cell r="J677" t="str">
            <v>Şebeke işletmecisi</v>
          </cell>
          <cell r="K677" t="str">
            <v>Bildirimsiz</v>
          </cell>
          <cell r="O677">
            <v>0</v>
          </cell>
          <cell r="P677">
            <v>0</v>
          </cell>
          <cell r="Q677">
            <v>1</v>
          </cell>
          <cell r="R677">
            <v>0</v>
          </cell>
          <cell r="S677">
            <v>1</v>
          </cell>
          <cell r="T677">
            <v>0</v>
          </cell>
          <cell r="U677">
            <v>0</v>
          </cell>
          <cell r="V677">
            <v>0</v>
          </cell>
          <cell r="W677">
            <v>114.45000000530854</v>
          </cell>
          <cell r="X677">
            <v>0</v>
          </cell>
          <cell r="Y677">
            <v>114.45000000530854</v>
          </cell>
          <cell r="Z677">
            <v>0</v>
          </cell>
        </row>
        <row r="678">
          <cell r="C678" t="str">
            <v>TEKİRDAĞ</v>
          </cell>
          <cell r="D678" t="str">
            <v>MARMARAEREĞLİSİ</v>
          </cell>
          <cell r="H678" t="str">
            <v>Dağıtım-AG</v>
          </cell>
          <cell r="I678" t="str">
            <v>Uzun</v>
          </cell>
          <cell r="J678" t="str">
            <v>Şebeke işletmecisi</v>
          </cell>
          <cell r="K678" t="str">
            <v>Bildirimsiz</v>
          </cell>
          <cell r="O678">
            <v>0</v>
          </cell>
          <cell r="P678">
            <v>20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2282.9999999608845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79">
          <cell r="C679" t="str">
            <v>EDİRNE</v>
          </cell>
          <cell r="D679" t="str">
            <v>EDİRNEMERKEZ</v>
          </cell>
          <cell r="H679" t="str">
            <v>Dağıtım-AG</v>
          </cell>
          <cell r="I679" t="str">
            <v>Uzun</v>
          </cell>
          <cell r="J679" t="str">
            <v>Şebeke işletmecisi</v>
          </cell>
          <cell r="K679" t="str">
            <v>Bildirimsiz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27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3079.3499998818152</v>
          </cell>
        </row>
        <row r="680">
          <cell r="C680" t="str">
            <v>TEKİRDAĞ</v>
          </cell>
          <cell r="D680" t="str">
            <v>SÜLEYMANPAŞA</v>
          </cell>
          <cell r="H680" t="str">
            <v>Dağıtım-AG</v>
          </cell>
          <cell r="I680" t="str">
            <v>Uzun</v>
          </cell>
          <cell r="J680" t="str">
            <v>Şebeke işletmecisi</v>
          </cell>
          <cell r="K680" t="str">
            <v>Bildirimsiz</v>
          </cell>
          <cell r="O680">
            <v>0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113.91666666255333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</row>
        <row r="681">
          <cell r="C681" t="str">
            <v>TEKİRDAĞ</v>
          </cell>
          <cell r="D681" t="str">
            <v>MARMARAEREĞLİSİ</v>
          </cell>
          <cell r="H681" t="str">
            <v>Dağıtım-AG</v>
          </cell>
          <cell r="I681" t="str">
            <v>Uzun</v>
          </cell>
          <cell r="J681" t="str">
            <v>Şebeke işletmecisi</v>
          </cell>
          <cell r="K681" t="str">
            <v>Bildirimsiz</v>
          </cell>
          <cell r="O681">
            <v>0</v>
          </cell>
          <cell r="P681">
            <v>0</v>
          </cell>
          <cell r="Q681">
            <v>0</v>
          </cell>
          <cell r="R681">
            <v>3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341.44999998039566</v>
          </cell>
          <cell r="Y681">
            <v>0</v>
          </cell>
          <cell r="Z681">
            <v>0</v>
          </cell>
        </row>
        <row r="682">
          <cell r="C682" t="str">
            <v>EDİRNE</v>
          </cell>
          <cell r="D682" t="str">
            <v>KEŞAN</v>
          </cell>
          <cell r="H682" t="str">
            <v>Dağıtım-OG</v>
          </cell>
          <cell r="I682" t="str">
            <v>Uzun</v>
          </cell>
          <cell r="J682" t="str">
            <v>Şebeke işletmecisi</v>
          </cell>
          <cell r="K682" t="str">
            <v>Bildirimsiz</v>
          </cell>
          <cell r="O682">
            <v>0</v>
          </cell>
          <cell r="P682">
            <v>0</v>
          </cell>
          <cell r="Q682">
            <v>0</v>
          </cell>
          <cell r="R682">
            <v>1</v>
          </cell>
          <cell r="S682">
            <v>0</v>
          </cell>
          <cell r="T682">
            <v>218</v>
          </cell>
          <cell r="U682">
            <v>0</v>
          </cell>
          <cell r="V682">
            <v>0</v>
          </cell>
          <cell r="W682">
            <v>0</v>
          </cell>
          <cell r="X682">
            <v>113.78333333996125</v>
          </cell>
          <cell r="Y682">
            <v>0</v>
          </cell>
          <cell r="Z682">
            <v>24804.766668111552</v>
          </cell>
        </row>
        <row r="683">
          <cell r="C683" t="str">
            <v>KIRKLARELİ</v>
          </cell>
          <cell r="D683" t="str">
            <v>KIRKLARELİMERKEZ</v>
          </cell>
          <cell r="H683" t="str">
            <v>Dağıtım-OG</v>
          </cell>
          <cell r="I683" t="str">
            <v>Uzun</v>
          </cell>
          <cell r="J683" t="str">
            <v>Şebeke işletmecisi</v>
          </cell>
          <cell r="K683" t="str">
            <v>Bildirimsiz</v>
          </cell>
          <cell r="O683">
            <v>2</v>
          </cell>
          <cell r="P683">
            <v>0</v>
          </cell>
          <cell r="Q683">
            <v>0</v>
          </cell>
          <cell r="R683">
            <v>0</v>
          </cell>
          <cell r="S683">
            <v>10</v>
          </cell>
          <cell r="T683">
            <v>0</v>
          </cell>
          <cell r="U683">
            <v>227.36666667507961</v>
          </cell>
          <cell r="V683">
            <v>0</v>
          </cell>
          <cell r="W683">
            <v>0</v>
          </cell>
          <cell r="X683">
            <v>0</v>
          </cell>
          <cell r="Y683">
            <v>1136.8333333753981</v>
          </cell>
          <cell r="Z683">
            <v>0</v>
          </cell>
        </row>
        <row r="684">
          <cell r="C684" t="str">
            <v>TEKİRDAĞ</v>
          </cell>
          <cell r="D684" t="str">
            <v>ÇORLU</v>
          </cell>
          <cell r="H684" t="str">
            <v>Dağıtım-OG</v>
          </cell>
          <cell r="I684" t="str">
            <v>Uzun</v>
          </cell>
          <cell r="J684" t="str">
            <v>Şebeke işletmecisi</v>
          </cell>
          <cell r="K684" t="str">
            <v>Bildirimsiz</v>
          </cell>
          <cell r="O684">
            <v>29</v>
          </cell>
          <cell r="P684">
            <v>15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3293.9166667184327</v>
          </cell>
          <cell r="V684">
            <v>1703.7500000267755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</row>
        <row r="685">
          <cell r="C685" t="str">
            <v>EDİRNE</v>
          </cell>
          <cell r="D685" t="str">
            <v>ENEZ</v>
          </cell>
          <cell r="H685" t="str">
            <v>Dağıtım-AG</v>
          </cell>
          <cell r="I685" t="str">
            <v>Uzun</v>
          </cell>
          <cell r="J685" t="str">
            <v>Şebeke işletmecisi</v>
          </cell>
          <cell r="K685" t="str">
            <v>Bildirimsiz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1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113.46666667261161</v>
          </cell>
        </row>
        <row r="686">
          <cell r="C686" t="str">
            <v>KIRKLARELİ</v>
          </cell>
          <cell r="D686" t="str">
            <v>KOFÇAZ</v>
          </cell>
          <cell r="H686" t="str">
            <v>Dağıtım-AG</v>
          </cell>
          <cell r="I686" t="str">
            <v>Uzun</v>
          </cell>
          <cell r="J686" t="str">
            <v>Şebeke işletmecisi</v>
          </cell>
          <cell r="K686" t="str">
            <v>Bildirimsiz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6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679.29999999934807</v>
          </cell>
        </row>
        <row r="687">
          <cell r="C687" t="str">
            <v>KIRKLARELİ</v>
          </cell>
          <cell r="D687" t="str">
            <v>KOFÇAZ</v>
          </cell>
          <cell r="H687" t="str">
            <v>Dağıtım-OG</v>
          </cell>
          <cell r="I687" t="str">
            <v>Uzun</v>
          </cell>
          <cell r="J687" t="str">
            <v>Şebeke işletmecisi</v>
          </cell>
          <cell r="K687" t="str">
            <v>Bildirimsiz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5</v>
          </cell>
          <cell r="T687">
            <v>270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564.49999999604188</v>
          </cell>
          <cell r="Z687">
            <v>30482.999999786261</v>
          </cell>
        </row>
        <row r="688">
          <cell r="C688" t="str">
            <v>TEKİRDAĞ</v>
          </cell>
          <cell r="D688" t="str">
            <v>MURATLI</v>
          </cell>
          <cell r="H688" t="str">
            <v>Dağıtım-OG</v>
          </cell>
          <cell r="I688" t="str">
            <v>Uzun</v>
          </cell>
          <cell r="J688" t="str">
            <v>Şebeke işletmecisi</v>
          </cell>
          <cell r="K688" t="str">
            <v>Bildirimsiz</v>
          </cell>
          <cell r="O688">
            <v>0</v>
          </cell>
          <cell r="P688">
            <v>0</v>
          </cell>
          <cell r="Q688">
            <v>0</v>
          </cell>
          <cell r="R688">
            <v>7</v>
          </cell>
          <cell r="S688">
            <v>0</v>
          </cell>
          <cell r="T688">
            <v>153</v>
          </cell>
          <cell r="U688">
            <v>0</v>
          </cell>
          <cell r="V688">
            <v>0</v>
          </cell>
          <cell r="W688">
            <v>0</v>
          </cell>
          <cell r="X688">
            <v>790.29999999445863</v>
          </cell>
          <cell r="Y688">
            <v>0</v>
          </cell>
          <cell r="Z688">
            <v>17273.699999878881</v>
          </cell>
        </row>
        <row r="689">
          <cell r="C689" t="str">
            <v>KIRKLARELİ</v>
          </cell>
          <cell r="D689" t="str">
            <v>BABAESKİ</v>
          </cell>
          <cell r="H689" t="str">
            <v>Dağıtım-OG</v>
          </cell>
          <cell r="I689" t="str">
            <v>Uzun</v>
          </cell>
          <cell r="J689" t="str">
            <v>Şebeke işletmecisi</v>
          </cell>
          <cell r="K689" t="str">
            <v>Bildirimsiz</v>
          </cell>
          <cell r="O689">
            <v>2</v>
          </cell>
          <cell r="P689">
            <v>1</v>
          </cell>
          <cell r="Q689">
            <v>2</v>
          </cell>
          <cell r="R689">
            <v>209</v>
          </cell>
          <cell r="S689">
            <v>0</v>
          </cell>
          <cell r="T689">
            <v>0</v>
          </cell>
          <cell r="U689">
            <v>225.76666667824611</v>
          </cell>
          <cell r="V689">
            <v>112.88333333912306</v>
          </cell>
          <cell r="W689">
            <v>225.76666667824611</v>
          </cell>
          <cell r="X689">
            <v>23592.616667876719</v>
          </cell>
          <cell r="Y689">
            <v>0</v>
          </cell>
          <cell r="Z689">
            <v>0</v>
          </cell>
        </row>
        <row r="690">
          <cell r="C690" t="str">
            <v>TEKİRDAĞ</v>
          </cell>
          <cell r="D690" t="str">
            <v>ŞARKÖY</v>
          </cell>
          <cell r="H690" t="str">
            <v>Dağıtım-AG</v>
          </cell>
          <cell r="I690" t="str">
            <v>Uzun</v>
          </cell>
          <cell r="J690" t="str">
            <v>Şebeke işletmecisi</v>
          </cell>
          <cell r="K690" t="str">
            <v>Bildirimsiz</v>
          </cell>
          <cell r="O690">
            <v>0</v>
          </cell>
          <cell r="P690">
            <v>0</v>
          </cell>
          <cell r="Q690">
            <v>0</v>
          </cell>
          <cell r="R690">
            <v>16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1805.3333334065974</v>
          </cell>
          <cell r="Y690">
            <v>0</v>
          </cell>
          <cell r="Z690">
            <v>0</v>
          </cell>
        </row>
        <row r="691">
          <cell r="C691" t="str">
            <v>TEKİRDAĞ</v>
          </cell>
          <cell r="D691" t="str">
            <v>MURATLI</v>
          </cell>
          <cell r="H691" t="str">
            <v>Dağıtım-OG</v>
          </cell>
          <cell r="I691" t="str">
            <v>Uzun</v>
          </cell>
          <cell r="J691" t="str">
            <v>Şebeke işletmecisi</v>
          </cell>
          <cell r="K691" t="str">
            <v>Bildirimsiz</v>
          </cell>
          <cell r="O691">
            <v>9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1014.4499999843538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C692" t="str">
            <v>TEKİRDAĞ</v>
          </cell>
          <cell r="D692" t="str">
            <v>SÜLEYMANPAŞA</v>
          </cell>
          <cell r="H692" t="str">
            <v>Dağıtım-OG</v>
          </cell>
          <cell r="I692" t="str">
            <v>Uzun</v>
          </cell>
          <cell r="J692" t="str">
            <v>Şebeke işletmecisi</v>
          </cell>
          <cell r="K692" t="str">
            <v>Bildirimli</v>
          </cell>
          <cell r="O692">
            <v>1</v>
          </cell>
          <cell r="P692">
            <v>292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112.61666667298414</v>
          </cell>
          <cell r="V692">
            <v>32884.066668511368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C693" t="str">
            <v>KIRKLARELİ</v>
          </cell>
          <cell r="D693" t="str">
            <v>KIRKLARELİMERKEZ</v>
          </cell>
          <cell r="H693" t="str">
            <v>Dağıtım-OG</v>
          </cell>
          <cell r="I693" t="str">
            <v>Uzun</v>
          </cell>
          <cell r="J693" t="str">
            <v>Şebeke işletmecisi</v>
          </cell>
          <cell r="K693" t="str">
            <v>Bildirimsiz</v>
          </cell>
          <cell r="O693">
            <v>18</v>
          </cell>
          <cell r="P693">
            <v>1088</v>
          </cell>
          <cell r="Q693">
            <v>3</v>
          </cell>
          <cell r="R693">
            <v>886</v>
          </cell>
          <cell r="S693">
            <v>15</v>
          </cell>
          <cell r="T693">
            <v>2</v>
          </cell>
          <cell r="U693">
            <v>2024.4000000483356</v>
          </cell>
          <cell r="V693">
            <v>122363.73333625495</v>
          </cell>
          <cell r="W693">
            <v>337.40000000805594</v>
          </cell>
          <cell r="X693">
            <v>99645.466669045854</v>
          </cell>
          <cell r="Y693">
            <v>1687.0000000402797</v>
          </cell>
          <cell r="Z693">
            <v>224.93333333870396</v>
          </cell>
        </row>
        <row r="694">
          <cell r="C694" t="str">
            <v>EDİRNE</v>
          </cell>
          <cell r="D694" t="str">
            <v>EDİRNEMERKEZ</v>
          </cell>
          <cell r="H694" t="str">
            <v>Dağıtım-OG</v>
          </cell>
          <cell r="I694" t="str">
            <v>Uzun</v>
          </cell>
          <cell r="J694" t="str">
            <v>Şebeke işletmecisi</v>
          </cell>
          <cell r="K694" t="str">
            <v>Bildirimsiz</v>
          </cell>
          <cell r="O694">
            <v>1</v>
          </cell>
          <cell r="P694">
            <v>89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112.38333333749324</v>
          </cell>
          <cell r="V694">
            <v>10002.116667036898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</row>
        <row r="695">
          <cell r="C695" t="str">
            <v>TEKİRDAĞ</v>
          </cell>
          <cell r="D695" t="str">
            <v>SÜLEYMANPAŞA</v>
          </cell>
          <cell r="H695" t="str">
            <v>Dağıtım-AG</v>
          </cell>
          <cell r="I695" t="str">
            <v>Uzun</v>
          </cell>
          <cell r="J695" t="str">
            <v>Şebeke işletmecisi</v>
          </cell>
          <cell r="K695" t="str">
            <v>Bildirimsiz</v>
          </cell>
          <cell r="O695">
            <v>0</v>
          </cell>
          <cell r="P695">
            <v>5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561.08333336887881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</row>
        <row r="696">
          <cell r="C696" t="str">
            <v>EDİRNE</v>
          </cell>
          <cell r="D696" t="str">
            <v>KEŞAN</v>
          </cell>
          <cell r="H696" t="str">
            <v>Dağıtım-OG</v>
          </cell>
          <cell r="I696" t="str">
            <v>Uzun</v>
          </cell>
          <cell r="J696" t="str">
            <v>Şebeke işletmecisi</v>
          </cell>
          <cell r="K696" t="str">
            <v>Bildirimsiz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</v>
          </cell>
          <cell r="T696">
            <v>76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224.16666666045785</v>
          </cell>
          <cell r="Z696">
            <v>8518.3333330973983</v>
          </cell>
        </row>
        <row r="697">
          <cell r="C697" t="str">
            <v>KIRKLARELİ</v>
          </cell>
          <cell r="D697" t="str">
            <v>VİZE</v>
          </cell>
          <cell r="H697" t="str">
            <v>Dağıtım-AG</v>
          </cell>
          <cell r="I697" t="str">
            <v>Uzun</v>
          </cell>
          <cell r="J697" t="str">
            <v>Şebeke işletmecisi</v>
          </cell>
          <cell r="K697" t="str">
            <v>Bildirimsiz</v>
          </cell>
          <cell r="O697">
            <v>0</v>
          </cell>
          <cell r="P697">
            <v>0</v>
          </cell>
          <cell r="Q697">
            <v>0</v>
          </cell>
          <cell r="R697">
            <v>5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560.08333334466442</v>
          </cell>
          <cell r="Y697">
            <v>0</v>
          </cell>
          <cell r="Z697">
            <v>0</v>
          </cell>
        </row>
        <row r="698">
          <cell r="C698" t="str">
            <v>KIRKLARELİ</v>
          </cell>
          <cell r="D698" t="str">
            <v>DEMİRKÖY</v>
          </cell>
          <cell r="H698" t="str">
            <v>Dağıtım-AG</v>
          </cell>
          <cell r="I698" t="str">
            <v>Uzun</v>
          </cell>
          <cell r="J698" t="str">
            <v>Şebeke işletmecisi</v>
          </cell>
          <cell r="K698" t="str">
            <v>Bildirimsiz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5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560.08333334466442</v>
          </cell>
        </row>
        <row r="699">
          <cell r="C699" t="str">
            <v>KIRKLARELİ</v>
          </cell>
          <cell r="D699" t="str">
            <v>DEMİRKÖY</v>
          </cell>
          <cell r="H699" t="str">
            <v>Dağıtım-OG</v>
          </cell>
          <cell r="I699" t="str">
            <v>Uzun</v>
          </cell>
          <cell r="J699" t="str">
            <v>Şebeke işletmecisi</v>
          </cell>
          <cell r="K699" t="str">
            <v>Bildirimsiz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5</v>
          </cell>
          <cell r="T699">
            <v>58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559.66666663298383</v>
          </cell>
          <cell r="Z699">
            <v>6492.1333329426125</v>
          </cell>
        </row>
        <row r="700">
          <cell r="C700" t="str">
            <v>EDİRNE</v>
          </cell>
          <cell r="D700" t="str">
            <v>İPSALA</v>
          </cell>
          <cell r="H700" t="str">
            <v>Dağıtım-AG</v>
          </cell>
          <cell r="I700" t="str">
            <v>Uzun</v>
          </cell>
          <cell r="J700" t="str">
            <v>Şebeke işletmecisi</v>
          </cell>
          <cell r="K700" t="str">
            <v>Bildirimsiz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35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3904.8333330312744</v>
          </cell>
        </row>
        <row r="701">
          <cell r="C701" t="str">
            <v>TEKİRDAĞ</v>
          </cell>
          <cell r="D701" t="str">
            <v>ŞARKÖY</v>
          </cell>
          <cell r="H701" t="str">
            <v>Dağıtım-AG</v>
          </cell>
          <cell r="I701" t="str">
            <v>Uzun</v>
          </cell>
          <cell r="J701" t="str">
            <v>Şebeke işletmecisi</v>
          </cell>
          <cell r="K701" t="str">
            <v>Bildirimsiz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1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110.99999999511056</v>
          </cell>
        </row>
        <row r="702">
          <cell r="C702" t="str">
            <v>TEKİRDAĞ</v>
          </cell>
          <cell r="D702" t="str">
            <v>SÜLEYMANPAŞA</v>
          </cell>
          <cell r="H702" t="str">
            <v>Dağıtım-AG</v>
          </cell>
          <cell r="I702" t="str">
            <v>Uzun</v>
          </cell>
          <cell r="J702" t="str">
            <v>Dışsal</v>
          </cell>
          <cell r="K702" t="str">
            <v>Bildirimsiz</v>
          </cell>
          <cell r="O702">
            <v>0</v>
          </cell>
          <cell r="P702">
            <v>3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332.24999999860302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C703" t="str">
            <v>TEKİRDAĞ</v>
          </cell>
          <cell r="D703" t="str">
            <v>MARMARAEREĞLİSİ</v>
          </cell>
          <cell r="H703" t="str">
            <v>Dağıtım-AG</v>
          </cell>
          <cell r="I703" t="str">
            <v>Uzun</v>
          </cell>
          <cell r="J703" t="str">
            <v>Şebeke işletmecisi</v>
          </cell>
          <cell r="K703" t="str">
            <v>Bildirimsiz</v>
          </cell>
          <cell r="O703">
            <v>0</v>
          </cell>
          <cell r="P703">
            <v>34</v>
          </cell>
          <cell r="Q703">
            <v>0</v>
          </cell>
          <cell r="R703">
            <v>3</v>
          </cell>
          <cell r="S703">
            <v>0</v>
          </cell>
          <cell r="T703">
            <v>0</v>
          </cell>
          <cell r="U703">
            <v>0</v>
          </cell>
          <cell r="V703">
            <v>3763.2333331438713</v>
          </cell>
          <cell r="W703">
            <v>0</v>
          </cell>
          <cell r="X703">
            <v>332.04999998328276</v>
          </cell>
          <cell r="Y703">
            <v>0</v>
          </cell>
          <cell r="Z703">
            <v>0</v>
          </cell>
        </row>
        <row r="704">
          <cell r="C704" t="str">
            <v>KIRKLARELİ</v>
          </cell>
          <cell r="D704" t="str">
            <v>LÜLEBURGAZ</v>
          </cell>
          <cell r="H704" t="str">
            <v>Dağıtım-AG</v>
          </cell>
          <cell r="I704" t="str">
            <v>Uzun</v>
          </cell>
          <cell r="J704" t="str">
            <v>Şebeke işletmecisi</v>
          </cell>
          <cell r="K704" t="str">
            <v>Bildirimsiz</v>
          </cell>
          <cell r="O704">
            <v>0</v>
          </cell>
          <cell r="P704">
            <v>81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8958.5999996680766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</row>
        <row r="705">
          <cell r="C705" t="str">
            <v>TEKİRDAĞ</v>
          </cell>
          <cell r="D705" t="str">
            <v>ÇERKEZKÖY</v>
          </cell>
          <cell r="H705" t="str">
            <v>Dağıtım-AG</v>
          </cell>
          <cell r="I705" t="str">
            <v>Uzun</v>
          </cell>
          <cell r="J705" t="str">
            <v>Şebeke işletmecisi</v>
          </cell>
          <cell r="K705" t="str">
            <v>Bildirimsiz</v>
          </cell>
          <cell r="O705">
            <v>0</v>
          </cell>
          <cell r="P705">
            <v>154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17029.833333715796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</row>
        <row r="706">
          <cell r="C706" t="str">
            <v>KIRKLARELİ</v>
          </cell>
          <cell r="D706" t="str">
            <v>VİZE</v>
          </cell>
          <cell r="H706" t="str">
            <v>Dağıtım-AG</v>
          </cell>
          <cell r="I706" t="str">
            <v>Uzun</v>
          </cell>
          <cell r="J706" t="str">
            <v>Şebeke işletmecisi</v>
          </cell>
          <cell r="K706" t="str">
            <v>Bildirimsiz</v>
          </cell>
          <cell r="O706">
            <v>0</v>
          </cell>
          <cell r="P706">
            <v>0</v>
          </cell>
          <cell r="Q706">
            <v>0</v>
          </cell>
          <cell r="R706">
            <v>17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1879.6333333093207</v>
          </cell>
          <cell r="Y706">
            <v>0</v>
          </cell>
          <cell r="Z706">
            <v>0</v>
          </cell>
        </row>
        <row r="707">
          <cell r="C707" t="str">
            <v>EDİRNE</v>
          </cell>
          <cell r="D707" t="str">
            <v>ENEZ</v>
          </cell>
          <cell r="H707" t="str">
            <v>Dağıtım-AG</v>
          </cell>
          <cell r="I707" t="str">
            <v>Uzun</v>
          </cell>
          <cell r="J707" t="str">
            <v>Şebeke işletmecisi</v>
          </cell>
          <cell r="K707" t="str">
            <v>Bildirimsiz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9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994.50000003562309</v>
          </cell>
        </row>
        <row r="708">
          <cell r="C708" t="str">
            <v>TEKİRDAĞ</v>
          </cell>
          <cell r="D708" t="str">
            <v>ÇERKEZKÖY</v>
          </cell>
          <cell r="H708" t="str">
            <v>Dağıtım-AG</v>
          </cell>
          <cell r="I708" t="str">
            <v>Uzun</v>
          </cell>
          <cell r="J708" t="str">
            <v>Şebeke işletmecisi</v>
          </cell>
          <cell r="K708" t="str">
            <v>Bildirimsiz</v>
          </cell>
          <cell r="O708">
            <v>0</v>
          </cell>
          <cell r="P708">
            <v>7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773.03333332529292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09">
          <cell r="C709" t="str">
            <v>KIRKLARELİ</v>
          </cell>
          <cell r="D709" t="str">
            <v>BABAESKİ</v>
          </cell>
          <cell r="H709" t="str">
            <v>Dağıtım-OG</v>
          </cell>
          <cell r="I709" t="str">
            <v>Uzun</v>
          </cell>
          <cell r="J709" t="str">
            <v>Şebeke işletmecisi</v>
          </cell>
          <cell r="K709" t="str">
            <v>Bildirimsiz</v>
          </cell>
          <cell r="O709">
            <v>1</v>
          </cell>
          <cell r="P709">
            <v>0</v>
          </cell>
          <cell r="Q709">
            <v>0</v>
          </cell>
          <cell r="R709">
            <v>0</v>
          </cell>
          <cell r="S709">
            <v>7</v>
          </cell>
          <cell r="T709">
            <v>0</v>
          </cell>
          <cell r="U709">
            <v>110.4333333321847</v>
          </cell>
          <cell r="V709">
            <v>0</v>
          </cell>
          <cell r="W709">
            <v>0</v>
          </cell>
          <cell r="X709">
            <v>0</v>
          </cell>
          <cell r="Y709">
            <v>773.03333332529292</v>
          </cell>
          <cell r="Z709">
            <v>0</v>
          </cell>
        </row>
        <row r="710">
          <cell r="C710" t="str">
            <v>TEKİRDAĞ</v>
          </cell>
          <cell r="D710" t="str">
            <v>ERGENE</v>
          </cell>
          <cell r="H710" t="str">
            <v>Dağıtım-AG</v>
          </cell>
          <cell r="I710" t="str">
            <v>Uzun</v>
          </cell>
          <cell r="J710" t="str">
            <v>Şebeke işletmecisi</v>
          </cell>
          <cell r="K710" t="str">
            <v>Bildirimsiz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101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11141.983333637472</v>
          </cell>
        </row>
        <row r="711">
          <cell r="C711" t="str">
            <v>TEKİRDAĞ</v>
          </cell>
          <cell r="D711" t="str">
            <v>SÜLEYMANPAŞA</v>
          </cell>
          <cell r="H711" t="str">
            <v>Dağıtım-AG</v>
          </cell>
          <cell r="I711" t="str">
            <v>Uzun</v>
          </cell>
          <cell r="J711" t="str">
            <v>Şebeke işletmecisi</v>
          </cell>
          <cell r="K711" t="str">
            <v>Bildirimsiz</v>
          </cell>
          <cell r="O711">
            <v>0</v>
          </cell>
          <cell r="P711">
            <v>79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8709.7499998344574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</row>
        <row r="712">
          <cell r="C712" t="str">
            <v>KIRKLARELİ</v>
          </cell>
          <cell r="D712" t="str">
            <v>BABAESKİ</v>
          </cell>
          <cell r="H712" t="str">
            <v>Dağıtım-AG</v>
          </cell>
          <cell r="I712" t="str">
            <v>Uzun</v>
          </cell>
          <cell r="J712" t="str">
            <v>Şebeke işletmecisi</v>
          </cell>
          <cell r="K712" t="str">
            <v>Bildirimsiz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119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13095.950000421144</v>
          </cell>
        </row>
        <row r="713">
          <cell r="C713" t="str">
            <v>EDİRNE</v>
          </cell>
          <cell r="D713" t="str">
            <v>İPSALA</v>
          </cell>
          <cell r="H713" t="str">
            <v>Dağıtım-AG</v>
          </cell>
          <cell r="I713" t="str">
            <v>Uzun</v>
          </cell>
          <cell r="J713" t="str">
            <v>Şebeke işletmecisi</v>
          </cell>
          <cell r="K713" t="str">
            <v>Bildirimsiz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19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2090.3166665858589</v>
          </cell>
        </row>
        <row r="714">
          <cell r="C714" t="str">
            <v>EDİRNE</v>
          </cell>
          <cell r="D714" t="str">
            <v>KEŞAN</v>
          </cell>
          <cell r="H714" t="str">
            <v>Dağıtım-AG</v>
          </cell>
          <cell r="I714" t="str">
            <v>Uzun</v>
          </cell>
          <cell r="J714" t="str">
            <v>Şebeke işletmecisi</v>
          </cell>
          <cell r="K714" t="str">
            <v>Bildirimsiz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5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549.58333335234784</v>
          </cell>
        </row>
        <row r="715">
          <cell r="C715" t="str">
            <v>KIRKLARELİ</v>
          </cell>
          <cell r="D715" t="str">
            <v>KIRKLARELİMERKEZ</v>
          </cell>
          <cell r="H715" t="str">
            <v>Dağıtım-OG</v>
          </cell>
          <cell r="I715" t="str">
            <v>Uzun</v>
          </cell>
          <cell r="J715" t="str">
            <v>Şebeke işletmecisi</v>
          </cell>
          <cell r="K715" t="str">
            <v>Bildirimsiz</v>
          </cell>
          <cell r="O715">
            <v>0</v>
          </cell>
          <cell r="P715">
            <v>0</v>
          </cell>
          <cell r="Q715">
            <v>5</v>
          </cell>
          <cell r="R715">
            <v>0</v>
          </cell>
          <cell r="S715">
            <v>9</v>
          </cell>
          <cell r="T715">
            <v>668</v>
          </cell>
          <cell r="U715">
            <v>0</v>
          </cell>
          <cell r="V715">
            <v>0</v>
          </cell>
          <cell r="W715">
            <v>549.16666669305414</v>
          </cell>
          <cell r="X715">
            <v>0</v>
          </cell>
          <cell r="Y715">
            <v>988.50000004749745</v>
          </cell>
          <cell r="Z715">
            <v>73368.666670192033</v>
          </cell>
        </row>
        <row r="716">
          <cell r="C716" t="str">
            <v>KIRKLARELİ</v>
          </cell>
          <cell r="D716" t="str">
            <v>VİZE</v>
          </cell>
          <cell r="H716" t="str">
            <v>Dağıtım-AG</v>
          </cell>
          <cell r="I716" t="str">
            <v>Uzun</v>
          </cell>
          <cell r="J716" t="str">
            <v>Şebeke işletmecisi</v>
          </cell>
          <cell r="K716" t="str">
            <v>Bildirimsiz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29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3182.7500001958106</v>
          </cell>
        </row>
        <row r="717">
          <cell r="C717" t="str">
            <v>EDİRNE</v>
          </cell>
          <cell r="D717" t="str">
            <v>İPSALA</v>
          </cell>
          <cell r="H717" t="str">
            <v>Dağıtım-OG</v>
          </cell>
          <cell r="I717" t="str">
            <v>Uzun</v>
          </cell>
          <cell r="J717" t="str">
            <v>Şebeke işletmecisi</v>
          </cell>
          <cell r="K717" t="str">
            <v>Bildirimsiz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1</v>
          </cell>
          <cell r="T717">
            <v>88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109.71666666562669</v>
          </cell>
          <cell r="Z717">
            <v>9655.0666665751487</v>
          </cell>
        </row>
        <row r="718">
          <cell r="C718" t="str">
            <v>KIRKLARELİ</v>
          </cell>
          <cell r="D718" t="str">
            <v>KIRKLARELİMERKEZ</v>
          </cell>
          <cell r="H718" t="str">
            <v>Dağıtım-AG</v>
          </cell>
          <cell r="I718" t="str">
            <v>Uzun</v>
          </cell>
          <cell r="J718" t="str">
            <v>Şebeke işletmecisi</v>
          </cell>
          <cell r="K718" t="str">
            <v>Bildirimsiz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41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4493.6000001279172</v>
          </cell>
        </row>
        <row r="719">
          <cell r="C719" t="str">
            <v>TEKİRDAĞ</v>
          </cell>
          <cell r="D719" t="str">
            <v>SÜLEYMANPAŞA</v>
          </cell>
          <cell r="H719" t="str">
            <v>Dağıtım-AG</v>
          </cell>
          <cell r="I719" t="str">
            <v>Uzun</v>
          </cell>
          <cell r="J719" t="str">
            <v>Şebeke işletmecisi</v>
          </cell>
          <cell r="K719" t="str">
            <v>Bildirimsiz</v>
          </cell>
          <cell r="O719">
            <v>0</v>
          </cell>
          <cell r="P719">
            <v>12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1314.2000000551343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</row>
        <row r="720">
          <cell r="C720" t="str">
            <v>KIRKLARELİ</v>
          </cell>
          <cell r="D720" t="str">
            <v>VİZE</v>
          </cell>
          <cell r="H720" t="str">
            <v>Dağıtım-AG</v>
          </cell>
          <cell r="I720" t="str">
            <v>Uzun</v>
          </cell>
          <cell r="J720" t="str">
            <v>Şebeke işletmecisi</v>
          </cell>
          <cell r="K720" t="str">
            <v>Bildirimsiz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24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2621.6000000294298</v>
          </cell>
        </row>
        <row r="721">
          <cell r="C721" t="str">
            <v>KIRKLARELİ</v>
          </cell>
          <cell r="D721" t="str">
            <v>KIRKLARELİMERKEZ</v>
          </cell>
          <cell r="H721" t="str">
            <v>Dağıtım-AG</v>
          </cell>
          <cell r="I721" t="str">
            <v>Uzun</v>
          </cell>
          <cell r="J721" t="str">
            <v>Şebeke işletmecisi</v>
          </cell>
          <cell r="K721" t="str">
            <v>Bildirimsiz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53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5788.4833331918344</v>
          </cell>
        </row>
        <row r="722">
          <cell r="C722" t="str">
            <v>KIRKLARELİ</v>
          </cell>
          <cell r="D722" t="str">
            <v>LÜLEBURGAZ</v>
          </cell>
          <cell r="H722" t="str">
            <v>Dağıtım-OG</v>
          </cell>
          <cell r="I722" t="str">
            <v>Uzun</v>
          </cell>
          <cell r="J722" t="str">
            <v>Şebeke işletmecisi</v>
          </cell>
          <cell r="K722" t="str">
            <v>Bildirimsiz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>
            <v>166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109.13333333213814</v>
          </cell>
          <cell r="Z722">
            <v>18116.133333134931</v>
          </cell>
        </row>
        <row r="723">
          <cell r="C723" t="str">
            <v>EDİRNE</v>
          </cell>
          <cell r="D723" t="str">
            <v>MERİÇ</v>
          </cell>
          <cell r="H723" t="str">
            <v>Dağıtım-AG</v>
          </cell>
          <cell r="I723" t="str">
            <v>Uzun</v>
          </cell>
          <cell r="J723" t="str">
            <v>Şebeke işletmecisi</v>
          </cell>
          <cell r="K723" t="str">
            <v>Bildirimsiz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47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5125.3500000131316</v>
          </cell>
        </row>
        <row r="724">
          <cell r="C724" t="str">
            <v>TEKİRDAĞ</v>
          </cell>
          <cell r="D724" t="str">
            <v>MURATLI</v>
          </cell>
          <cell r="H724" t="str">
            <v>Dağıtım-OG</v>
          </cell>
          <cell r="I724" t="str">
            <v>Uzun</v>
          </cell>
          <cell r="J724" t="str">
            <v>Şebeke işletmecisi</v>
          </cell>
          <cell r="K724" t="str">
            <v>Bildirimsiz</v>
          </cell>
          <cell r="O724">
            <v>0</v>
          </cell>
          <cell r="P724">
            <v>0</v>
          </cell>
          <cell r="Q724">
            <v>0</v>
          </cell>
          <cell r="R724">
            <v>7</v>
          </cell>
          <cell r="S724">
            <v>0</v>
          </cell>
          <cell r="T724">
            <v>153</v>
          </cell>
          <cell r="U724">
            <v>0</v>
          </cell>
          <cell r="V724">
            <v>0</v>
          </cell>
          <cell r="W724">
            <v>0</v>
          </cell>
          <cell r="X724">
            <v>762.99999999348074</v>
          </cell>
          <cell r="Y724">
            <v>0</v>
          </cell>
          <cell r="Z724">
            <v>16676.999999857508</v>
          </cell>
        </row>
        <row r="725">
          <cell r="C725" t="str">
            <v>TEKİRDAĞ</v>
          </cell>
          <cell r="D725" t="str">
            <v>SÜLEYMANPAŞA</v>
          </cell>
          <cell r="H725" t="str">
            <v>Dağıtım-AG</v>
          </cell>
          <cell r="I725" t="str">
            <v>Uzun</v>
          </cell>
          <cell r="J725" t="str">
            <v>Dışsal</v>
          </cell>
          <cell r="K725" t="str">
            <v>Bildirimsiz</v>
          </cell>
          <cell r="O725">
            <v>0</v>
          </cell>
          <cell r="P725">
            <v>59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6430.0166663818527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</row>
        <row r="726">
          <cell r="C726" t="str">
            <v>EDİRNE</v>
          </cell>
          <cell r="D726" t="str">
            <v>ENEZ</v>
          </cell>
          <cell r="H726" t="str">
            <v>Dağıtım-OG</v>
          </cell>
          <cell r="I726" t="str">
            <v>Uzun</v>
          </cell>
          <cell r="J726" t="str">
            <v>Şebeke işletmecisi</v>
          </cell>
          <cell r="K726" t="str">
            <v>Bildirimsiz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14</v>
          </cell>
          <cell r="T726">
            <v>1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1524.8333333409391</v>
          </cell>
          <cell r="Z726">
            <v>108.91666666720994</v>
          </cell>
        </row>
        <row r="727">
          <cell r="C727" t="str">
            <v>TEKİRDAĞ</v>
          </cell>
          <cell r="D727" t="str">
            <v>SÜLEYMANPAŞA</v>
          </cell>
          <cell r="H727" t="str">
            <v>Dağıtım-AG</v>
          </cell>
          <cell r="I727" t="str">
            <v>Uzun</v>
          </cell>
          <cell r="J727" t="str">
            <v>Şebeke işletmecisi</v>
          </cell>
          <cell r="K727" t="str">
            <v>Bildirimsiz</v>
          </cell>
          <cell r="O727">
            <v>0</v>
          </cell>
          <cell r="P727">
            <v>36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3913.2000000821427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</row>
        <row r="728">
          <cell r="C728" t="str">
            <v>EDİRNE</v>
          </cell>
          <cell r="D728" t="str">
            <v>EDİRNEMERKEZ</v>
          </cell>
          <cell r="H728" t="str">
            <v>Dağıtım-AG</v>
          </cell>
          <cell r="I728" t="str">
            <v>Uzun</v>
          </cell>
          <cell r="J728" t="str">
            <v>Şebeke işletmecisi</v>
          </cell>
          <cell r="K728" t="str">
            <v>Bildirimsiz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169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18364.666665735422</v>
          </cell>
        </row>
        <row r="729">
          <cell r="C729" t="str">
            <v>EDİRNE</v>
          </cell>
          <cell r="D729" t="str">
            <v>UZUNKÖPRÜ</v>
          </cell>
          <cell r="H729" t="str">
            <v>Dağıtım-OG</v>
          </cell>
          <cell r="I729" t="str">
            <v>Uzun</v>
          </cell>
          <cell r="J729" t="str">
            <v>Şebeke işletmecisi</v>
          </cell>
          <cell r="K729" t="str">
            <v>Bildirimli</v>
          </cell>
          <cell r="O729">
            <v>33</v>
          </cell>
          <cell r="P729">
            <v>346</v>
          </cell>
          <cell r="Q729">
            <v>0</v>
          </cell>
          <cell r="R729">
            <v>11</v>
          </cell>
          <cell r="S729">
            <v>131</v>
          </cell>
          <cell r="T729">
            <v>5243</v>
          </cell>
          <cell r="U729">
            <v>3585.9999998181593</v>
          </cell>
          <cell r="V729">
            <v>37598.666664760094</v>
          </cell>
          <cell r="W729">
            <v>0</v>
          </cell>
          <cell r="X729">
            <v>1195.3333332727198</v>
          </cell>
          <cell r="Y729">
            <v>14235.333332611481</v>
          </cell>
          <cell r="Z729">
            <v>569739.3333044427</v>
          </cell>
        </row>
        <row r="730">
          <cell r="C730" t="str">
            <v>EDİRNE</v>
          </cell>
          <cell r="D730" t="str">
            <v>EDİRNEMERKEZ</v>
          </cell>
          <cell r="H730" t="str">
            <v>Dağıtım-OG</v>
          </cell>
          <cell r="I730" t="str">
            <v>Uzun</v>
          </cell>
          <cell r="J730" t="str">
            <v>Şebeke işletmecisi</v>
          </cell>
          <cell r="K730" t="str">
            <v>Bildirimsiz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4</v>
          </cell>
          <cell r="T730">
            <v>307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434.5333333639428</v>
          </cell>
          <cell r="Z730">
            <v>33350.43333568261</v>
          </cell>
        </row>
        <row r="731">
          <cell r="C731" t="str">
            <v>EDİRNE</v>
          </cell>
          <cell r="D731" t="str">
            <v>İPSALA</v>
          </cell>
          <cell r="H731" t="str">
            <v>Dağıtım-AG</v>
          </cell>
          <cell r="I731" t="str">
            <v>Uzun</v>
          </cell>
          <cell r="J731" t="str">
            <v>Şebeke işletmecisi</v>
          </cell>
          <cell r="K731" t="str">
            <v>Bildirimsiz</v>
          </cell>
          <cell r="O731">
            <v>0</v>
          </cell>
          <cell r="P731">
            <v>0</v>
          </cell>
          <cell r="Q731">
            <v>0</v>
          </cell>
          <cell r="R731">
            <v>9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977.69999997457489</v>
          </cell>
          <cell r="Y731">
            <v>0</v>
          </cell>
          <cell r="Z731">
            <v>0</v>
          </cell>
        </row>
        <row r="732">
          <cell r="C732" t="str">
            <v>TEKİRDAĞ</v>
          </cell>
          <cell r="D732" t="str">
            <v>MARMARAEREĞLİSİ</v>
          </cell>
          <cell r="H732" t="str">
            <v>Dağıtım-AG</v>
          </cell>
          <cell r="I732" t="str">
            <v>Uzun</v>
          </cell>
          <cell r="J732" t="str">
            <v>Şebeke işletmecisi</v>
          </cell>
          <cell r="K732" t="str">
            <v>Bildirimsiz</v>
          </cell>
          <cell r="O732">
            <v>0</v>
          </cell>
          <cell r="P732">
            <v>15</v>
          </cell>
          <cell r="Q732">
            <v>0</v>
          </cell>
          <cell r="R732">
            <v>4</v>
          </cell>
          <cell r="S732">
            <v>0</v>
          </cell>
          <cell r="T732">
            <v>0</v>
          </cell>
          <cell r="U732">
            <v>0</v>
          </cell>
          <cell r="V732">
            <v>1627.4999999615829</v>
          </cell>
          <cell r="W732">
            <v>0</v>
          </cell>
          <cell r="X732">
            <v>433.99999998975545</v>
          </cell>
          <cell r="Y732">
            <v>0</v>
          </cell>
          <cell r="Z732">
            <v>0</v>
          </cell>
        </row>
        <row r="733">
          <cell r="C733" t="str">
            <v>TEKİRDAĞ</v>
          </cell>
          <cell r="D733" t="str">
            <v>ÇORLU</v>
          </cell>
          <cell r="H733" t="str">
            <v>Dağıtım-AG</v>
          </cell>
          <cell r="I733" t="str">
            <v>Uzun</v>
          </cell>
          <cell r="J733" t="str">
            <v>Şebeke işletmecisi</v>
          </cell>
          <cell r="K733" t="str">
            <v>Bildirimsiz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2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216.93333333358169</v>
          </cell>
        </row>
        <row r="734">
          <cell r="C734" t="str">
            <v>EDİRNE</v>
          </cell>
          <cell r="D734" t="str">
            <v>İPSALA</v>
          </cell>
          <cell r="H734" t="str">
            <v>Dağıtım-AG</v>
          </cell>
          <cell r="I734" t="str">
            <v>Uzun</v>
          </cell>
          <cell r="J734" t="str">
            <v>Şebeke işletmecisi</v>
          </cell>
          <cell r="K734" t="str">
            <v>Bildirimsiz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3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325.30000000842847</v>
          </cell>
        </row>
        <row r="735">
          <cell r="C735" t="str">
            <v>TEKİRDAĞ</v>
          </cell>
          <cell r="D735" t="str">
            <v>SÜLEYMANPAŞA</v>
          </cell>
          <cell r="H735" t="str">
            <v>Dağıtım-AG</v>
          </cell>
          <cell r="I735" t="str">
            <v>Uzun</v>
          </cell>
          <cell r="J735" t="str">
            <v>Şebeke işletmecisi</v>
          </cell>
          <cell r="K735" t="str">
            <v>Bildirimsiz</v>
          </cell>
          <cell r="O735">
            <v>0</v>
          </cell>
          <cell r="P735">
            <v>0</v>
          </cell>
          <cell r="Q735">
            <v>0</v>
          </cell>
          <cell r="R735">
            <v>49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5310.7833334116731</v>
          </cell>
          <cell r="Y735">
            <v>0</v>
          </cell>
          <cell r="Z735">
            <v>0</v>
          </cell>
        </row>
        <row r="736">
          <cell r="C736" t="str">
            <v>EDİRNE</v>
          </cell>
          <cell r="D736" t="str">
            <v>EDİRNEMERKEZ</v>
          </cell>
          <cell r="H736" t="str">
            <v>Dağıtım-AG</v>
          </cell>
          <cell r="I736" t="str">
            <v>Uzun</v>
          </cell>
          <cell r="J736" t="str">
            <v>Şebeke işletmecisi</v>
          </cell>
          <cell r="K736" t="str">
            <v>Bildirimsiz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35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3784.0833334077615</v>
          </cell>
        </row>
        <row r="737">
          <cell r="C737" t="str">
            <v>KIRKLARELİ</v>
          </cell>
          <cell r="D737" t="str">
            <v>VİZE</v>
          </cell>
          <cell r="H737" t="str">
            <v>Dağıtım-AG</v>
          </cell>
          <cell r="I737" t="str">
            <v>Uzun</v>
          </cell>
          <cell r="J737" t="str">
            <v>Şebeke işletmecisi</v>
          </cell>
          <cell r="K737" t="str">
            <v>Bildirimsiz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126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13603.79999981029</v>
          </cell>
        </row>
        <row r="738">
          <cell r="C738" t="str">
            <v>TEKİRDAĞ</v>
          </cell>
          <cell r="D738" t="str">
            <v>SÜLEYMANPAŞA</v>
          </cell>
          <cell r="H738" t="str">
            <v>Dağıtım-AG</v>
          </cell>
          <cell r="I738" t="str">
            <v>Uzun</v>
          </cell>
          <cell r="J738" t="str">
            <v>Şebeke işletmecisi</v>
          </cell>
          <cell r="K738" t="str">
            <v>Bildirimsiz</v>
          </cell>
          <cell r="O738">
            <v>0</v>
          </cell>
          <cell r="P738">
            <v>2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215.86666666902602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</row>
        <row r="739">
          <cell r="C739" t="str">
            <v>KIRKLARELİ</v>
          </cell>
          <cell r="D739" t="str">
            <v>VİZE</v>
          </cell>
          <cell r="H739" t="str">
            <v>Dağıtım-AG</v>
          </cell>
          <cell r="I739" t="str">
            <v>Uzun</v>
          </cell>
          <cell r="J739" t="str">
            <v>Şebeke işletmecisi</v>
          </cell>
          <cell r="K739" t="str">
            <v>Bildirimsiz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3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323.49999999627471</v>
          </cell>
        </row>
        <row r="740">
          <cell r="C740" t="str">
            <v>EDİRNE</v>
          </cell>
          <cell r="D740" t="str">
            <v>ENEZ</v>
          </cell>
          <cell r="H740" t="str">
            <v>Dağıtım-OG</v>
          </cell>
          <cell r="I740" t="str">
            <v>Uzun</v>
          </cell>
          <cell r="J740" t="str">
            <v>Şebeke işletmecisi</v>
          </cell>
          <cell r="K740" t="str">
            <v>Bildirimsiz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1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107.68333332845941</v>
          </cell>
          <cell r="Z740">
            <v>0</v>
          </cell>
        </row>
        <row r="741">
          <cell r="C741" t="str">
            <v>KIRKLARELİ</v>
          </cell>
          <cell r="D741" t="str">
            <v>LÜLEBURGAZ</v>
          </cell>
          <cell r="H741" t="str">
            <v>Dağıtım-AG</v>
          </cell>
          <cell r="I741" t="str">
            <v>Uzun</v>
          </cell>
          <cell r="J741" t="str">
            <v>Şebeke işletmecisi</v>
          </cell>
          <cell r="K741" t="str">
            <v>Bildirimsiz</v>
          </cell>
          <cell r="O741">
            <v>0</v>
          </cell>
          <cell r="P741">
            <v>9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968.10000008787028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</row>
        <row r="742">
          <cell r="C742" t="str">
            <v>TEKİRDAĞ</v>
          </cell>
          <cell r="D742" t="str">
            <v>ÇERKEZKÖY</v>
          </cell>
          <cell r="H742" t="str">
            <v>Dağıtım-OG</v>
          </cell>
          <cell r="I742" t="str">
            <v>Uzun</v>
          </cell>
          <cell r="J742" t="str">
            <v>Şebeke işletmecisi</v>
          </cell>
          <cell r="K742" t="str">
            <v>Bildirimli</v>
          </cell>
          <cell r="O742">
            <v>0</v>
          </cell>
          <cell r="P742">
            <v>1894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203541.86666072812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C743" t="str">
            <v>KIRKLARELİ</v>
          </cell>
          <cell r="D743" t="str">
            <v>LÜLEBURGAZ</v>
          </cell>
          <cell r="H743" t="str">
            <v>Dağıtım-OG</v>
          </cell>
          <cell r="I743" t="str">
            <v>Uzun</v>
          </cell>
          <cell r="J743" t="str">
            <v>Şebeke işletmecisi</v>
          </cell>
          <cell r="K743" t="str">
            <v>Bildirimsiz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7</v>
          </cell>
          <cell r="T743">
            <v>7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751.09999999869615</v>
          </cell>
          <cell r="Z743">
            <v>751.09999999869615</v>
          </cell>
        </row>
        <row r="744">
          <cell r="C744" t="str">
            <v>TEKİRDAĞ</v>
          </cell>
          <cell r="D744" t="str">
            <v>SÜLEYMANPAŞA</v>
          </cell>
          <cell r="H744" t="str">
            <v>Dağıtım-OG</v>
          </cell>
          <cell r="I744" t="str">
            <v>Uzun</v>
          </cell>
          <cell r="J744" t="str">
            <v>Şebeke işletmecisi</v>
          </cell>
          <cell r="K744" t="str">
            <v>Bildirimsiz</v>
          </cell>
          <cell r="O744">
            <v>2</v>
          </cell>
          <cell r="P744">
            <v>281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213.9666666649282</v>
          </cell>
          <cell r="V744">
            <v>30062.316666422412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5">
          <cell r="C745" t="str">
            <v>TEKİRDAĞ</v>
          </cell>
          <cell r="D745" t="str">
            <v>MARMARAEREĞLİSİ</v>
          </cell>
          <cell r="H745" t="str">
            <v>Dağıtım-AG</v>
          </cell>
          <cell r="I745" t="str">
            <v>Uzun</v>
          </cell>
          <cell r="J745" t="str">
            <v>Şebeke işletmecisi</v>
          </cell>
          <cell r="K745" t="str">
            <v>Bildirimsiz</v>
          </cell>
          <cell r="O745">
            <v>0</v>
          </cell>
          <cell r="P745">
            <v>48</v>
          </cell>
          <cell r="Q745">
            <v>0</v>
          </cell>
          <cell r="R745">
            <v>4</v>
          </cell>
          <cell r="S745">
            <v>0</v>
          </cell>
          <cell r="T745">
            <v>0</v>
          </cell>
          <cell r="U745">
            <v>0</v>
          </cell>
          <cell r="V745">
            <v>5134.4000002741814</v>
          </cell>
          <cell r="W745">
            <v>0</v>
          </cell>
          <cell r="X745">
            <v>427.86666668951511</v>
          </cell>
          <cell r="Y745">
            <v>0</v>
          </cell>
          <cell r="Z745">
            <v>0</v>
          </cell>
        </row>
        <row r="746">
          <cell r="C746" t="str">
            <v>EDİRNE</v>
          </cell>
          <cell r="D746" t="str">
            <v>İPSALA</v>
          </cell>
          <cell r="H746" t="str">
            <v>Dağıtım-OG</v>
          </cell>
          <cell r="I746" t="str">
            <v>Uzun</v>
          </cell>
          <cell r="J746" t="str">
            <v>Şebeke işletmecisi</v>
          </cell>
          <cell r="K746" t="str">
            <v>Bildirimsiz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2</v>
          </cell>
          <cell r="T746">
            <v>258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213.9333333238028</v>
          </cell>
          <cell r="Z746">
            <v>27597.399998770561</v>
          </cell>
        </row>
        <row r="747">
          <cell r="C747" t="str">
            <v>KIRKLARELİ</v>
          </cell>
          <cell r="D747" t="str">
            <v>VİZE</v>
          </cell>
          <cell r="H747" t="str">
            <v>Dağıtım-OG</v>
          </cell>
          <cell r="I747" t="str">
            <v>Uzun</v>
          </cell>
          <cell r="J747" t="str">
            <v>Şebeke işletmecisi</v>
          </cell>
          <cell r="K747" t="str">
            <v>Bildirimsiz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13</v>
          </cell>
          <cell r="T747">
            <v>189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1387.5333333795425</v>
          </cell>
          <cell r="Z747">
            <v>20172.60000067181</v>
          </cell>
        </row>
        <row r="748">
          <cell r="C748" t="str">
            <v>EDİRNE</v>
          </cell>
          <cell r="D748" t="str">
            <v>ENEZ</v>
          </cell>
          <cell r="H748" t="str">
            <v>Dağıtım-OG</v>
          </cell>
          <cell r="I748" t="str">
            <v>Uzun</v>
          </cell>
          <cell r="J748" t="str">
            <v>Şebeke işletmecisi</v>
          </cell>
          <cell r="K748" t="str">
            <v>Bildirimsiz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126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13444.199999466073</v>
          </cell>
        </row>
        <row r="749">
          <cell r="C749" t="str">
            <v>TEKİRDAĞ</v>
          </cell>
          <cell r="D749" t="str">
            <v>SARAY</v>
          </cell>
          <cell r="H749" t="str">
            <v>Dağıtım-AG</v>
          </cell>
          <cell r="I749" t="str">
            <v>Uzun</v>
          </cell>
          <cell r="J749" t="str">
            <v>Şebeke işletmecisi</v>
          </cell>
          <cell r="K749" t="str">
            <v>Bildirimsiz</v>
          </cell>
          <cell r="O749">
            <v>0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106.68333333567716</v>
          </cell>
          <cell r="Y749">
            <v>0</v>
          </cell>
          <cell r="Z749">
            <v>0</v>
          </cell>
        </row>
        <row r="750">
          <cell r="C750" t="str">
            <v>EDİRNE</v>
          </cell>
          <cell r="D750" t="str">
            <v>ENEZ</v>
          </cell>
          <cell r="H750" t="str">
            <v>Dağıtım-OG</v>
          </cell>
          <cell r="I750" t="str">
            <v>Uzun</v>
          </cell>
          <cell r="J750" t="str">
            <v>Şebeke işletmecisi</v>
          </cell>
          <cell r="K750" t="str">
            <v>Bildirimsiz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1</v>
          </cell>
          <cell r="T750">
            <v>44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106.5500000026077</v>
          </cell>
          <cell r="Z750">
            <v>4688.2000001147389</v>
          </cell>
        </row>
        <row r="751">
          <cell r="C751" t="str">
            <v>KIRKLARELİ</v>
          </cell>
          <cell r="D751" t="str">
            <v>BABAESKİ</v>
          </cell>
          <cell r="H751" t="str">
            <v>Dağıtım-AG</v>
          </cell>
          <cell r="I751" t="str">
            <v>Uzun</v>
          </cell>
          <cell r="J751" t="str">
            <v>Şebeke işletmecisi</v>
          </cell>
          <cell r="K751" t="str">
            <v>Bildirimsiz</v>
          </cell>
          <cell r="O751">
            <v>0</v>
          </cell>
          <cell r="P751">
            <v>2</v>
          </cell>
          <cell r="Q751">
            <v>0</v>
          </cell>
          <cell r="R751">
            <v>0</v>
          </cell>
          <cell r="S751">
            <v>0</v>
          </cell>
          <cell r="T751">
            <v>290</v>
          </cell>
          <cell r="U751">
            <v>0</v>
          </cell>
          <cell r="V751">
            <v>213.03333332296461</v>
          </cell>
          <cell r="W751">
            <v>0</v>
          </cell>
          <cell r="X751">
            <v>0</v>
          </cell>
          <cell r="Y751">
            <v>0</v>
          </cell>
          <cell r="Z751">
            <v>30889.833331829868</v>
          </cell>
        </row>
        <row r="752">
          <cell r="C752" t="str">
            <v>TEKİRDAĞ</v>
          </cell>
          <cell r="D752" t="str">
            <v>HAYRABOLU</v>
          </cell>
          <cell r="H752" t="str">
            <v>Dağıtım-AG</v>
          </cell>
          <cell r="I752" t="str">
            <v>Uzun</v>
          </cell>
          <cell r="J752" t="str">
            <v>Şebeke işletmecisi</v>
          </cell>
          <cell r="K752" t="str">
            <v>Bildirimsiz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3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319.50000000419095</v>
          </cell>
        </row>
        <row r="753">
          <cell r="C753" t="str">
            <v>TEKİRDAĞ</v>
          </cell>
          <cell r="D753" t="str">
            <v>ŞARKÖY</v>
          </cell>
          <cell r="H753" t="str">
            <v>Dağıtım-OG</v>
          </cell>
          <cell r="I753" t="str">
            <v>Uzun</v>
          </cell>
          <cell r="J753" t="str">
            <v>Şebeke işletmecisi</v>
          </cell>
          <cell r="K753" t="str">
            <v>Bildirimli</v>
          </cell>
          <cell r="O753">
            <v>0</v>
          </cell>
          <cell r="P753">
            <v>0</v>
          </cell>
          <cell r="Q753">
            <v>0</v>
          </cell>
          <cell r="R753">
            <v>6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638.70000000111759</v>
          </cell>
          <cell r="Y753">
            <v>0</v>
          </cell>
          <cell r="Z753">
            <v>0</v>
          </cell>
        </row>
        <row r="754">
          <cell r="C754" t="str">
            <v>EDİRNE</v>
          </cell>
          <cell r="D754" t="str">
            <v>EDİRNEMERKEZ</v>
          </cell>
          <cell r="H754" t="str">
            <v>Dağıtım-AG</v>
          </cell>
          <cell r="I754" t="str">
            <v>Uzun</v>
          </cell>
          <cell r="J754" t="str">
            <v>Şebeke işletmecisi</v>
          </cell>
          <cell r="K754" t="str">
            <v>Bildirimsiz</v>
          </cell>
          <cell r="O754">
            <v>0</v>
          </cell>
          <cell r="P754">
            <v>4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425.3999999910593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5">
          <cell r="C755" t="str">
            <v>TEKİRDAĞ</v>
          </cell>
          <cell r="D755" t="str">
            <v>HAYRABOLU</v>
          </cell>
          <cell r="H755" t="str">
            <v>Dağıtım-OG</v>
          </cell>
          <cell r="I755" t="str">
            <v>Uzun</v>
          </cell>
          <cell r="J755" t="str">
            <v>Şebeke işletmecisi</v>
          </cell>
          <cell r="K755" t="str">
            <v>Bildirimli</v>
          </cell>
          <cell r="O755">
            <v>0</v>
          </cell>
          <cell r="P755">
            <v>0</v>
          </cell>
          <cell r="Q755">
            <v>6</v>
          </cell>
          <cell r="R755">
            <v>1</v>
          </cell>
          <cell r="S755">
            <v>3</v>
          </cell>
          <cell r="T755">
            <v>481</v>
          </cell>
          <cell r="U755">
            <v>0</v>
          </cell>
          <cell r="V755">
            <v>0</v>
          </cell>
          <cell r="W755">
            <v>636.70000003650784</v>
          </cell>
          <cell r="X755">
            <v>106.11666667275131</v>
          </cell>
          <cell r="Y755">
            <v>318.35000001825392</v>
          </cell>
          <cell r="Z755">
            <v>51042.116669593379</v>
          </cell>
        </row>
        <row r="756">
          <cell r="C756" t="str">
            <v>EDİRNE</v>
          </cell>
          <cell r="D756" t="str">
            <v>İPSALA</v>
          </cell>
          <cell r="H756" t="str">
            <v>Dağıtım-OG</v>
          </cell>
          <cell r="I756" t="str">
            <v>Uzun</v>
          </cell>
          <cell r="J756" t="str">
            <v>Şebeke işletmecisi</v>
          </cell>
          <cell r="K756" t="str">
            <v>Bildirimsiz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121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12789.700000360608</v>
          </cell>
        </row>
        <row r="757">
          <cell r="C757" t="str">
            <v>EDİRNE</v>
          </cell>
          <cell r="D757" t="str">
            <v>KEŞAN</v>
          </cell>
          <cell r="H757" t="str">
            <v>Dağıtım-AG</v>
          </cell>
          <cell r="I757" t="str">
            <v>Uzun</v>
          </cell>
          <cell r="J757" t="str">
            <v>Şebeke işletmecisi</v>
          </cell>
          <cell r="K757" t="str">
            <v>Bildirimsiz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11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1162.7000000327826</v>
          </cell>
        </row>
        <row r="758">
          <cell r="C758" t="str">
            <v>TEKİRDAĞ</v>
          </cell>
          <cell r="D758" t="str">
            <v>HAYRABOLU</v>
          </cell>
          <cell r="H758" t="str">
            <v>Dağıtım-AG</v>
          </cell>
          <cell r="I758" t="str">
            <v>Uzun</v>
          </cell>
          <cell r="J758" t="str">
            <v>Şebeke işletmecisi</v>
          </cell>
          <cell r="K758" t="str">
            <v>Bildirimsiz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3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316.9499999738764</v>
          </cell>
        </row>
        <row r="759">
          <cell r="C759" t="str">
            <v>TEKİRDAĞ</v>
          </cell>
          <cell r="D759" t="str">
            <v>HAYRABOLU</v>
          </cell>
          <cell r="H759" t="str">
            <v>Dağıtım-OG</v>
          </cell>
          <cell r="I759" t="str">
            <v>Uzun</v>
          </cell>
          <cell r="J759" t="str">
            <v>Şebeke işletmecisi</v>
          </cell>
          <cell r="K759" t="str">
            <v>Bildirimsiz</v>
          </cell>
          <cell r="O759">
            <v>0</v>
          </cell>
          <cell r="P759">
            <v>0</v>
          </cell>
          <cell r="Q759">
            <v>2</v>
          </cell>
          <cell r="R759">
            <v>0</v>
          </cell>
          <cell r="S759">
            <v>2</v>
          </cell>
          <cell r="T759">
            <v>242</v>
          </cell>
          <cell r="U759">
            <v>0</v>
          </cell>
          <cell r="V759">
            <v>0</v>
          </cell>
          <cell r="W759">
            <v>211.26666668336838</v>
          </cell>
          <cell r="X759">
            <v>0</v>
          </cell>
          <cell r="Y759">
            <v>211.26666668336838</v>
          </cell>
          <cell r="Z759">
            <v>25563.266668687575</v>
          </cell>
        </row>
        <row r="760">
          <cell r="C760" t="str">
            <v>EDİRNE</v>
          </cell>
          <cell r="D760" t="str">
            <v>KEŞAN</v>
          </cell>
          <cell r="H760" t="str">
            <v>Dağıtım-AG</v>
          </cell>
          <cell r="I760" t="str">
            <v>Uzun</v>
          </cell>
          <cell r="J760" t="str">
            <v>Şebeke işletmecisi</v>
          </cell>
          <cell r="K760" t="str">
            <v>Bildirimsiz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2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210.83333333255723</v>
          </cell>
        </row>
        <row r="761">
          <cell r="C761" t="str">
            <v>TEKİRDAĞ</v>
          </cell>
          <cell r="D761" t="str">
            <v>MALKARA</v>
          </cell>
          <cell r="H761" t="str">
            <v>Dağıtım-OG</v>
          </cell>
          <cell r="I761" t="str">
            <v>Uzun</v>
          </cell>
          <cell r="J761" t="str">
            <v>Şebeke İşletmecisi</v>
          </cell>
          <cell r="K761" t="str">
            <v>Bildirimsiz</v>
          </cell>
          <cell r="O761">
            <v>1</v>
          </cell>
          <cell r="P761">
            <v>175</v>
          </cell>
          <cell r="Q761">
            <v>0</v>
          </cell>
          <cell r="R761">
            <v>0</v>
          </cell>
          <cell r="S761">
            <v>1</v>
          </cell>
          <cell r="T761">
            <v>217</v>
          </cell>
          <cell r="U761">
            <v>105.39999999571592</v>
          </cell>
          <cell r="V761">
            <v>18444.999999250285</v>
          </cell>
          <cell r="W761">
            <v>0</v>
          </cell>
          <cell r="X761">
            <v>0</v>
          </cell>
          <cell r="Y761">
            <v>105.39999999571592</v>
          </cell>
          <cell r="Z761">
            <v>22871.799999070354</v>
          </cell>
        </row>
        <row r="762">
          <cell r="C762" t="str">
            <v>TEKİRDAĞ</v>
          </cell>
          <cell r="D762" t="str">
            <v>MALKARA</v>
          </cell>
          <cell r="H762" t="str">
            <v>Dağıtım-AG</v>
          </cell>
          <cell r="I762" t="str">
            <v>Uzun</v>
          </cell>
          <cell r="J762" t="str">
            <v>Şebeke işletmecisi</v>
          </cell>
          <cell r="K762" t="str">
            <v>Bildirimsiz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22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2318.0666666314937</v>
          </cell>
        </row>
        <row r="763">
          <cell r="C763" t="str">
            <v>EDİRNE</v>
          </cell>
          <cell r="D763" t="str">
            <v>HAVSA</v>
          </cell>
          <cell r="H763" t="str">
            <v>Dağıtım-OG</v>
          </cell>
          <cell r="I763" t="str">
            <v>Uzun</v>
          </cell>
          <cell r="J763" t="str">
            <v>Şebeke işletmecisi</v>
          </cell>
          <cell r="K763" t="str">
            <v>Bildirimsiz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2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210.63333334866911</v>
          </cell>
          <cell r="Z763">
            <v>0</v>
          </cell>
        </row>
        <row r="764">
          <cell r="C764" t="str">
            <v>TEKİRDAĞ</v>
          </cell>
          <cell r="D764" t="str">
            <v>SÜLEYMANPAŞA</v>
          </cell>
          <cell r="H764" t="str">
            <v>Dağıtım-OG</v>
          </cell>
          <cell r="I764" t="str">
            <v>Uzun</v>
          </cell>
          <cell r="J764" t="str">
            <v>Şebeke işletmecisi</v>
          </cell>
          <cell r="K764" t="str">
            <v>Bildirimsiz</v>
          </cell>
          <cell r="O764">
            <v>0</v>
          </cell>
          <cell r="P764">
            <v>35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3679.0833334322087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5">
          <cell r="C765" t="str">
            <v>KIRKLARELİ</v>
          </cell>
          <cell r="D765" t="str">
            <v>VİZE</v>
          </cell>
          <cell r="H765" t="str">
            <v>Dağıtım-AG</v>
          </cell>
          <cell r="I765" t="str">
            <v>Uzun</v>
          </cell>
          <cell r="J765" t="str">
            <v>Şebeke işletmecisi</v>
          </cell>
          <cell r="K765" t="str">
            <v>Bildirimsiz</v>
          </cell>
          <cell r="O765">
            <v>0</v>
          </cell>
          <cell r="P765">
            <v>0</v>
          </cell>
          <cell r="Q765">
            <v>0</v>
          </cell>
          <cell r="R765">
            <v>103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10820.149999764981</v>
          </cell>
          <cell r="Y765">
            <v>0</v>
          </cell>
          <cell r="Z765">
            <v>0</v>
          </cell>
        </row>
        <row r="766">
          <cell r="C766" t="str">
            <v>EDİRNE</v>
          </cell>
          <cell r="D766" t="str">
            <v>UZUNKÖPRÜ</v>
          </cell>
          <cell r="H766" t="str">
            <v>Dağıtım-AG</v>
          </cell>
          <cell r="I766" t="str">
            <v>Uzun</v>
          </cell>
          <cell r="J766" t="str">
            <v>Şebeke işletmecisi</v>
          </cell>
          <cell r="K766" t="str">
            <v>Bildirimsiz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93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9768.1000003998633</v>
          </cell>
        </row>
        <row r="767">
          <cell r="C767" t="str">
            <v>EDİRNE</v>
          </cell>
          <cell r="D767" t="str">
            <v>KEŞAN</v>
          </cell>
          <cell r="H767" t="str">
            <v>Dağıtım-AG</v>
          </cell>
          <cell r="I767" t="str">
            <v>Uzun</v>
          </cell>
          <cell r="J767" t="str">
            <v>Şebeke işletmecisi</v>
          </cell>
          <cell r="K767" t="str">
            <v>Bildirimsiz</v>
          </cell>
          <cell r="O767">
            <v>0</v>
          </cell>
          <cell r="P767">
            <v>3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314.59999999031425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</row>
        <row r="768">
          <cell r="C768" t="str">
            <v>TEKİRDAĞ</v>
          </cell>
          <cell r="D768" t="str">
            <v>MARMARAEREĞLİSİ</v>
          </cell>
          <cell r="H768" t="str">
            <v>Dağıtım-AG</v>
          </cell>
          <cell r="I768" t="str">
            <v>Uzun</v>
          </cell>
          <cell r="J768" t="str">
            <v>Şebeke işletmecisi</v>
          </cell>
          <cell r="K768" t="str">
            <v>Bildirimsiz</v>
          </cell>
          <cell r="O768">
            <v>0</v>
          </cell>
          <cell r="P768">
            <v>0</v>
          </cell>
          <cell r="Q768">
            <v>0</v>
          </cell>
          <cell r="R768">
            <v>17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1777.9166665545199</v>
          </cell>
          <cell r="Y768">
            <v>0</v>
          </cell>
          <cell r="Z768">
            <v>0</v>
          </cell>
        </row>
        <row r="769">
          <cell r="C769" t="str">
            <v>TEKİRDAĞ</v>
          </cell>
          <cell r="D769" t="str">
            <v>SARAY</v>
          </cell>
          <cell r="H769" t="str">
            <v>Dağıtım-AG</v>
          </cell>
          <cell r="I769" t="str">
            <v>Uzun</v>
          </cell>
          <cell r="J769" t="str">
            <v>Şebeke işletmecisi</v>
          </cell>
          <cell r="K769" t="str">
            <v>Bildirimsiz</v>
          </cell>
          <cell r="O769">
            <v>0</v>
          </cell>
          <cell r="P769">
            <v>0</v>
          </cell>
          <cell r="Q769">
            <v>0</v>
          </cell>
          <cell r="R769">
            <v>1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104.48333333479241</v>
          </cell>
          <cell r="Y769">
            <v>0</v>
          </cell>
          <cell r="Z769">
            <v>0</v>
          </cell>
        </row>
        <row r="770">
          <cell r="C770" t="str">
            <v>KIRKLARELİ</v>
          </cell>
          <cell r="D770" t="str">
            <v>KOFÇAZ</v>
          </cell>
          <cell r="H770" t="str">
            <v>Dağıtım-AG</v>
          </cell>
          <cell r="I770" t="str">
            <v>Uzun</v>
          </cell>
          <cell r="J770" t="str">
            <v>Şebeke işletmecisi</v>
          </cell>
          <cell r="K770" t="str">
            <v>Bildirimsiz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4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417.80000001657754</v>
          </cell>
        </row>
        <row r="771">
          <cell r="C771" t="str">
            <v>KIRKLARELİ</v>
          </cell>
          <cell r="D771" t="str">
            <v>PINARHİSAR</v>
          </cell>
          <cell r="H771" t="str">
            <v>Dağıtım-OG</v>
          </cell>
          <cell r="I771" t="str">
            <v>Uzun</v>
          </cell>
          <cell r="J771" t="str">
            <v>Şebeke İşletmecisi</v>
          </cell>
          <cell r="K771" t="str">
            <v>Bildirimsiz</v>
          </cell>
          <cell r="O771">
            <v>0</v>
          </cell>
          <cell r="P771">
            <v>0</v>
          </cell>
          <cell r="Q771">
            <v>3</v>
          </cell>
          <cell r="R771">
            <v>631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313.05000000516884</v>
          </cell>
          <cell r="X771">
            <v>65844.850001087179</v>
          </cell>
          <cell r="Y771">
            <v>0</v>
          </cell>
          <cell r="Z771">
            <v>0</v>
          </cell>
        </row>
        <row r="772">
          <cell r="C772" t="str">
            <v>EDİRNE</v>
          </cell>
          <cell r="D772" t="str">
            <v>KEŞAN</v>
          </cell>
          <cell r="H772" t="str">
            <v>Dağıtım-OG</v>
          </cell>
          <cell r="I772" t="str">
            <v>Uzun</v>
          </cell>
          <cell r="J772" t="str">
            <v>Şebeke işletmecisi</v>
          </cell>
          <cell r="K772" t="str">
            <v>Bildirimli</v>
          </cell>
          <cell r="O772">
            <v>1</v>
          </cell>
          <cell r="P772">
            <v>0</v>
          </cell>
          <cell r="Q772">
            <v>0</v>
          </cell>
          <cell r="R772">
            <v>0</v>
          </cell>
          <cell r="S772">
            <v>5</v>
          </cell>
          <cell r="T772">
            <v>585</v>
          </cell>
          <cell r="U772">
            <v>104.18333333800547</v>
          </cell>
          <cell r="V772">
            <v>0</v>
          </cell>
          <cell r="W772">
            <v>0</v>
          </cell>
          <cell r="X772">
            <v>0</v>
          </cell>
          <cell r="Y772">
            <v>520.91666669002734</v>
          </cell>
          <cell r="Z772">
            <v>60947.250002733199</v>
          </cell>
        </row>
        <row r="773">
          <cell r="C773" t="str">
            <v>TEKİRDAĞ</v>
          </cell>
          <cell r="D773" t="str">
            <v>ERGENE</v>
          </cell>
          <cell r="H773" t="str">
            <v>Dağıtım-AG</v>
          </cell>
          <cell r="I773" t="str">
            <v>Uzun</v>
          </cell>
          <cell r="J773" t="str">
            <v>Şebeke işletmecisi</v>
          </cell>
          <cell r="K773" t="str">
            <v>Bildirimsiz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17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1768.8499999057967</v>
          </cell>
        </row>
        <row r="774">
          <cell r="C774" t="str">
            <v>TEKİRDAĞ</v>
          </cell>
          <cell r="D774" t="str">
            <v>ERGENE</v>
          </cell>
          <cell r="H774" t="str">
            <v>Dağıtım-AG</v>
          </cell>
          <cell r="I774" t="str">
            <v>Uzun</v>
          </cell>
          <cell r="J774" t="str">
            <v>Şebeke işletmecisi</v>
          </cell>
          <cell r="K774" t="str">
            <v>Bildirimsiz</v>
          </cell>
          <cell r="O774">
            <v>0</v>
          </cell>
          <cell r="P774">
            <v>80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8320.0000002980232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</row>
        <row r="775">
          <cell r="C775" t="str">
            <v>KIRKLARELİ</v>
          </cell>
          <cell r="D775" t="str">
            <v>DEMİRKÖY</v>
          </cell>
          <cell r="H775" t="str">
            <v>Dağıtım-AG</v>
          </cell>
          <cell r="I775" t="str">
            <v>Uzun</v>
          </cell>
          <cell r="J775" t="str">
            <v>Şebeke işletmecisi</v>
          </cell>
          <cell r="K775" t="str">
            <v>Bildirimsiz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  <cell r="T775">
            <v>18</v>
          </cell>
          <cell r="U775">
            <v>0</v>
          </cell>
          <cell r="V775">
            <v>0</v>
          </cell>
          <cell r="W775">
            <v>0</v>
          </cell>
          <cell r="X775">
            <v>103.93333333195187</v>
          </cell>
          <cell r="Y775">
            <v>0</v>
          </cell>
          <cell r="Z775">
            <v>1870.7999999751337</v>
          </cell>
        </row>
        <row r="776">
          <cell r="C776" t="str">
            <v>TEKİRDAĞ</v>
          </cell>
          <cell r="D776" t="str">
            <v>SÜLEYMANPAŞA</v>
          </cell>
          <cell r="H776" t="str">
            <v>Dağıtım-AG</v>
          </cell>
          <cell r="I776" t="str">
            <v>Uzun</v>
          </cell>
          <cell r="J776" t="str">
            <v>Şebeke işletmecisi</v>
          </cell>
          <cell r="K776" t="str">
            <v>Bildirimsiz</v>
          </cell>
          <cell r="O776">
            <v>0</v>
          </cell>
          <cell r="P776">
            <v>40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4149.3333335034549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</row>
        <row r="777">
          <cell r="C777" t="str">
            <v>KIRKLARELİ</v>
          </cell>
          <cell r="D777" t="str">
            <v>VİZE</v>
          </cell>
          <cell r="H777" t="str">
            <v>Dağıtım-AG</v>
          </cell>
          <cell r="I777" t="str">
            <v>Uzun</v>
          </cell>
          <cell r="J777" t="str">
            <v>Şebeke işletmecisi</v>
          </cell>
          <cell r="K777" t="str">
            <v>Bildirimsiz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25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2590.4166666150559</v>
          </cell>
        </row>
        <row r="778">
          <cell r="C778" t="str">
            <v>TEKİRDAĞ</v>
          </cell>
          <cell r="D778" t="str">
            <v>SÜLEYMANPAŞA</v>
          </cell>
          <cell r="H778" t="str">
            <v>Dağıtım-AG</v>
          </cell>
          <cell r="I778" t="str">
            <v>Uzun</v>
          </cell>
          <cell r="J778" t="str">
            <v>Şebeke işletmecisi</v>
          </cell>
          <cell r="K778" t="str">
            <v>Bildirimsiz</v>
          </cell>
          <cell r="O778">
            <v>0</v>
          </cell>
          <cell r="P778">
            <v>11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1139.0500000363681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</row>
        <row r="779">
          <cell r="C779" t="str">
            <v>TEKİRDAĞ</v>
          </cell>
          <cell r="D779" t="str">
            <v>MALKARA</v>
          </cell>
          <cell r="H779" t="str">
            <v>Dağıtım-AG</v>
          </cell>
          <cell r="I779" t="str">
            <v>Uzun</v>
          </cell>
          <cell r="J779" t="str">
            <v>Şebeke işletmecisi</v>
          </cell>
          <cell r="K779" t="str">
            <v>Bildirimsiz</v>
          </cell>
          <cell r="O779">
            <v>0</v>
          </cell>
          <cell r="P779">
            <v>3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310.59999999823049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</row>
        <row r="780">
          <cell r="C780" t="str">
            <v>KIRKLARELİ</v>
          </cell>
          <cell r="D780" t="str">
            <v>LÜLEBURGAZ</v>
          </cell>
          <cell r="H780" t="str">
            <v>Dağıtım-OG</v>
          </cell>
          <cell r="I780" t="str">
            <v>Uzun</v>
          </cell>
          <cell r="J780" t="str">
            <v>Şebeke işletmecisi</v>
          </cell>
          <cell r="K780" t="str">
            <v>Bildirimsiz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166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103.48333333153278</v>
          </cell>
          <cell r="Z780">
            <v>17178.233333034441</v>
          </cell>
        </row>
        <row r="781">
          <cell r="C781" t="str">
            <v>KIRKLARELİ</v>
          </cell>
          <cell r="D781" t="str">
            <v>VİZE</v>
          </cell>
          <cell r="H781" t="str">
            <v>Dağıtım-OG</v>
          </cell>
          <cell r="I781" t="str">
            <v>Uzun</v>
          </cell>
          <cell r="J781" t="str">
            <v>Şebeke işletmecisi</v>
          </cell>
          <cell r="K781" t="str">
            <v>Bildirimsiz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1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103.41666665975936</v>
          </cell>
          <cell r="Z781">
            <v>0</v>
          </cell>
        </row>
        <row r="782">
          <cell r="C782" t="str">
            <v>EDİRNE</v>
          </cell>
          <cell r="D782" t="str">
            <v>KEŞAN</v>
          </cell>
          <cell r="H782" t="str">
            <v>Dağıtım-AG</v>
          </cell>
          <cell r="I782" t="str">
            <v>Uzun</v>
          </cell>
          <cell r="J782" t="str">
            <v>Şebeke işletmecisi</v>
          </cell>
          <cell r="K782" t="str">
            <v>Bildirimsiz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2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206.66666665580124</v>
          </cell>
        </row>
        <row r="783">
          <cell r="C783" t="str">
            <v>TEKİRDAĞ</v>
          </cell>
          <cell r="D783" t="str">
            <v>HAYRABOLU</v>
          </cell>
          <cell r="H783" t="str">
            <v>Dağıtım-OG</v>
          </cell>
          <cell r="I783" t="str">
            <v>Uzun</v>
          </cell>
          <cell r="J783" t="str">
            <v>Şebeke işletmecisi</v>
          </cell>
          <cell r="K783" t="str">
            <v>Bildirimsiz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32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3303.9999998733401</v>
          </cell>
        </row>
        <row r="784">
          <cell r="C784" t="str">
            <v>EDİRNE</v>
          </cell>
          <cell r="D784" t="str">
            <v>UZUNKÖPRÜ</v>
          </cell>
          <cell r="H784" t="str">
            <v>Dağıtım-OG</v>
          </cell>
          <cell r="I784" t="str">
            <v>Uzun</v>
          </cell>
          <cell r="J784" t="str">
            <v>Şebeke işletmecisi</v>
          </cell>
          <cell r="K784" t="str">
            <v>Bildirimsiz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4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412.93333334382623</v>
          </cell>
          <cell r="Z784">
            <v>0</v>
          </cell>
        </row>
        <row r="785">
          <cell r="C785" t="str">
            <v>TEKİRDAĞ</v>
          </cell>
          <cell r="D785" t="str">
            <v>ERGENE</v>
          </cell>
          <cell r="H785" t="str">
            <v>Dağıtım-OG</v>
          </cell>
          <cell r="I785" t="str">
            <v>Uzun</v>
          </cell>
          <cell r="J785" t="str">
            <v>Şebeke işletmecisi</v>
          </cell>
          <cell r="K785" t="str">
            <v>Bildirimsiz</v>
          </cell>
          <cell r="O785">
            <v>1</v>
          </cell>
          <cell r="P785">
            <v>0</v>
          </cell>
          <cell r="Q785">
            <v>0</v>
          </cell>
          <cell r="R785">
            <v>0</v>
          </cell>
          <cell r="S785">
            <v>2</v>
          </cell>
          <cell r="T785">
            <v>0</v>
          </cell>
          <cell r="U785">
            <v>103.13333333353512</v>
          </cell>
          <cell r="V785">
            <v>0</v>
          </cell>
          <cell r="W785">
            <v>0</v>
          </cell>
          <cell r="X785">
            <v>0</v>
          </cell>
          <cell r="Y785">
            <v>206.26666666707024</v>
          </cell>
          <cell r="Z785">
            <v>0</v>
          </cell>
        </row>
        <row r="786">
          <cell r="C786" t="str">
            <v>TEKİRDAĞ</v>
          </cell>
          <cell r="D786" t="str">
            <v>ÇORLU</v>
          </cell>
          <cell r="H786" t="str">
            <v>Dağıtım-AG</v>
          </cell>
          <cell r="I786" t="str">
            <v>Uzun</v>
          </cell>
          <cell r="J786" t="str">
            <v>Şebeke işletmecisi</v>
          </cell>
          <cell r="K786" t="str">
            <v>Bildirimsiz</v>
          </cell>
          <cell r="O786">
            <v>0</v>
          </cell>
          <cell r="P786">
            <v>4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412.53333333414048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</row>
        <row r="787">
          <cell r="C787" t="str">
            <v>KIRKLARELİ</v>
          </cell>
          <cell r="D787" t="str">
            <v>KIRKLARELİMERKEZ</v>
          </cell>
          <cell r="H787" t="str">
            <v>Dağıtım-AG</v>
          </cell>
          <cell r="I787" t="str">
            <v>Uzun</v>
          </cell>
          <cell r="J787" t="str">
            <v>Şebeke işletmecisi</v>
          </cell>
          <cell r="K787" t="str">
            <v>Bildirimsiz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126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12978.000000058673</v>
          </cell>
        </row>
        <row r="788">
          <cell r="C788" t="str">
            <v>TEKİRDAĞ</v>
          </cell>
          <cell r="D788" t="str">
            <v>ŞARKÖY</v>
          </cell>
          <cell r="H788" t="str">
            <v>Dağıtım-AG</v>
          </cell>
          <cell r="I788" t="str">
            <v>Uzun</v>
          </cell>
          <cell r="J788" t="str">
            <v>Şebeke işletmecisi</v>
          </cell>
          <cell r="K788" t="str">
            <v>Bildirimsiz</v>
          </cell>
          <cell r="O788">
            <v>0</v>
          </cell>
          <cell r="P788">
            <v>0</v>
          </cell>
          <cell r="Q788">
            <v>0</v>
          </cell>
          <cell r="R788">
            <v>5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514.58333329064772</v>
          </cell>
          <cell r="Y788">
            <v>0</v>
          </cell>
          <cell r="Z788">
            <v>0</v>
          </cell>
        </row>
        <row r="789">
          <cell r="C789" t="str">
            <v>KIRKLARELİ</v>
          </cell>
          <cell r="D789" t="str">
            <v>VİZE</v>
          </cell>
          <cell r="H789" t="str">
            <v>Dağıtım-AG</v>
          </cell>
          <cell r="I789" t="str">
            <v>Uzun</v>
          </cell>
          <cell r="J789" t="str">
            <v>Şebeke işletmecisi</v>
          </cell>
          <cell r="K789" t="str">
            <v>Bildirimsiz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52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5350.8000004431233</v>
          </cell>
        </row>
        <row r="790">
          <cell r="C790" t="str">
            <v>KIRKLARELİ</v>
          </cell>
          <cell r="D790" t="str">
            <v>BABAESKİ</v>
          </cell>
          <cell r="H790" t="str">
            <v>Dağıtım-AG</v>
          </cell>
          <cell r="I790" t="str">
            <v>Uzun</v>
          </cell>
          <cell r="J790" t="str">
            <v>Şebeke işletmecisi</v>
          </cell>
          <cell r="K790" t="str">
            <v>Bildirimsiz</v>
          </cell>
          <cell r="O790">
            <v>0</v>
          </cell>
          <cell r="P790">
            <v>0</v>
          </cell>
          <cell r="Q790">
            <v>0</v>
          </cell>
          <cell r="R790">
            <v>65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6686.3333333807532</v>
          </cell>
          <cell r="Y790">
            <v>0</v>
          </cell>
          <cell r="Z790">
            <v>0</v>
          </cell>
        </row>
        <row r="791">
          <cell r="C791" t="str">
            <v>TEKİRDAĞ</v>
          </cell>
          <cell r="D791" t="str">
            <v>SÜLEYMANPAŞA</v>
          </cell>
          <cell r="H791" t="str">
            <v>Dağıtım-AG</v>
          </cell>
          <cell r="I791" t="str">
            <v>Uzun</v>
          </cell>
          <cell r="J791" t="str">
            <v>Şebeke işletmecisi</v>
          </cell>
          <cell r="K791" t="str">
            <v>Bildirimsiz</v>
          </cell>
          <cell r="O791">
            <v>0</v>
          </cell>
          <cell r="P791">
            <v>152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15595.200000191107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</row>
        <row r="792">
          <cell r="C792" t="str">
            <v>TEKİRDAĞ</v>
          </cell>
          <cell r="D792" t="str">
            <v>ERGENE</v>
          </cell>
          <cell r="H792" t="str">
            <v>Dağıtım-AG</v>
          </cell>
          <cell r="I792" t="str">
            <v>Uzun</v>
          </cell>
          <cell r="J792" t="str">
            <v>Şebeke işletmecisi</v>
          </cell>
          <cell r="K792" t="str">
            <v>Bildirimsiz</v>
          </cell>
          <cell r="O792">
            <v>0</v>
          </cell>
          <cell r="P792">
            <v>95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9747.0000001194421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</row>
        <row r="793">
          <cell r="C793" t="str">
            <v>EDİRNE</v>
          </cell>
          <cell r="D793" t="str">
            <v>UZUNKÖPRÜ</v>
          </cell>
          <cell r="H793" t="str">
            <v>Dağıtım-AG</v>
          </cell>
          <cell r="I793" t="str">
            <v>Uzun</v>
          </cell>
          <cell r="J793" t="str">
            <v>Şebeke işletmecisi</v>
          </cell>
          <cell r="K793" t="str">
            <v>Bildirimsiz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116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11891.933333650231</v>
          </cell>
        </row>
        <row r="794">
          <cell r="C794" t="str">
            <v>KIRKLARELİ</v>
          </cell>
          <cell r="D794" t="str">
            <v>BABAESKİ</v>
          </cell>
          <cell r="H794" t="str">
            <v>Dağıtım-OG</v>
          </cell>
          <cell r="I794" t="str">
            <v>Uzun</v>
          </cell>
          <cell r="J794" t="str">
            <v>Şebeke işletmecisi</v>
          </cell>
          <cell r="K794" t="str">
            <v>Bildirimsiz</v>
          </cell>
          <cell r="O794">
            <v>1</v>
          </cell>
          <cell r="P794">
            <v>0</v>
          </cell>
          <cell r="Q794">
            <v>0</v>
          </cell>
          <cell r="R794">
            <v>1</v>
          </cell>
          <cell r="S794">
            <v>9</v>
          </cell>
          <cell r="T794">
            <v>572</v>
          </cell>
          <cell r="U794">
            <v>102.48333332827315</v>
          </cell>
          <cell r="V794">
            <v>0</v>
          </cell>
          <cell r="W794">
            <v>0</v>
          </cell>
          <cell r="X794">
            <v>102.48333332827315</v>
          </cell>
          <cell r="Y794">
            <v>922.34999995445833</v>
          </cell>
          <cell r="Z794">
            <v>58620.46666377224</v>
          </cell>
        </row>
        <row r="795">
          <cell r="C795" t="str">
            <v>TEKİRDAĞ</v>
          </cell>
          <cell r="D795" t="str">
            <v>SARAY</v>
          </cell>
          <cell r="H795" t="str">
            <v>Dağıtım-AG</v>
          </cell>
          <cell r="I795" t="str">
            <v>Uzun</v>
          </cell>
          <cell r="J795" t="str">
            <v>Şebeke İşletmecisi</v>
          </cell>
          <cell r="K795" t="str">
            <v>Bildirimsiz</v>
          </cell>
          <cell r="O795">
            <v>0</v>
          </cell>
          <cell r="P795">
            <v>0</v>
          </cell>
          <cell r="Q795">
            <v>0</v>
          </cell>
          <cell r="R795">
            <v>34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3482.1666666772217</v>
          </cell>
          <cell r="Y795">
            <v>0</v>
          </cell>
          <cell r="Z795">
            <v>0</v>
          </cell>
        </row>
        <row r="796">
          <cell r="C796" t="str">
            <v>TEKİRDAĞ</v>
          </cell>
          <cell r="D796" t="str">
            <v>SÜLEYMANPAŞA</v>
          </cell>
          <cell r="H796" t="str">
            <v>Dağıtım-AG</v>
          </cell>
          <cell r="I796" t="str">
            <v>Uzun</v>
          </cell>
          <cell r="J796" t="str">
            <v>Şebeke işletmecisi</v>
          </cell>
          <cell r="K796" t="str">
            <v>Bildirimsiz</v>
          </cell>
          <cell r="O796">
            <v>0</v>
          </cell>
          <cell r="P796">
            <v>6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614.10000003408641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</row>
        <row r="797">
          <cell r="C797" t="str">
            <v>TEKİRDAĞ</v>
          </cell>
          <cell r="D797" t="str">
            <v>MARMARAEREĞLİSİ</v>
          </cell>
          <cell r="H797" t="str">
            <v>Dağıtım-AG</v>
          </cell>
          <cell r="I797" t="str">
            <v>Uzun</v>
          </cell>
          <cell r="J797" t="str">
            <v>Şebeke işletmecisi</v>
          </cell>
          <cell r="K797" t="str">
            <v>Bildirimsiz</v>
          </cell>
          <cell r="O797">
            <v>0</v>
          </cell>
          <cell r="P797">
            <v>1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102.31666666455567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</row>
        <row r="798">
          <cell r="C798" t="str">
            <v>TEKİRDAĞ</v>
          </cell>
          <cell r="D798" t="str">
            <v>SÜLEYMANPAŞA</v>
          </cell>
          <cell r="H798" t="str">
            <v>Dağıtım-AG</v>
          </cell>
          <cell r="I798" t="str">
            <v>Uzun</v>
          </cell>
          <cell r="J798" t="str">
            <v>Şebeke işletmecisi</v>
          </cell>
          <cell r="K798" t="str">
            <v>Bildirimsiz</v>
          </cell>
          <cell r="O798">
            <v>0</v>
          </cell>
          <cell r="P798">
            <v>153</v>
          </cell>
          <cell r="Q798">
            <v>0</v>
          </cell>
          <cell r="R798">
            <v>0</v>
          </cell>
          <cell r="S798">
            <v>0</v>
          </cell>
          <cell r="T798">
            <v>1</v>
          </cell>
          <cell r="U798">
            <v>0</v>
          </cell>
          <cell r="V798">
            <v>15644.249998895684</v>
          </cell>
          <cell r="W798">
            <v>0</v>
          </cell>
          <cell r="X798">
            <v>0</v>
          </cell>
          <cell r="Y798">
            <v>0</v>
          </cell>
          <cell r="Z798">
            <v>102.24999999278225</v>
          </cell>
        </row>
        <row r="799">
          <cell r="C799" t="str">
            <v>KIRKLARELİ</v>
          </cell>
          <cell r="D799" t="str">
            <v>LÜLEBURGAZ</v>
          </cell>
          <cell r="H799" t="str">
            <v>Dağıtım-OG</v>
          </cell>
          <cell r="I799" t="str">
            <v>Uzun</v>
          </cell>
          <cell r="J799" t="str">
            <v>Şebeke işletmecisi</v>
          </cell>
          <cell r="K799" t="str">
            <v>Bildirimsiz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102.23333333269693</v>
          </cell>
          <cell r="Z799">
            <v>0</v>
          </cell>
        </row>
        <row r="800">
          <cell r="C800" t="str">
            <v>TEKİRDAĞ</v>
          </cell>
          <cell r="D800" t="str">
            <v>MARMARAEREĞLİSİ</v>
          </cell>
          <cell r="H800" t="str">
            <v>Dağıtım-AG</v>
          </cell>
          <cell r="I800" t="str">
            <v>Uzun</v>
          </cell>
          <cell r="J800" t="str">
            <v>Şebeke işletmecisi</v>
          </cell>
          <cell r="K800" t="str">
            <v>Bildirimsiz</v>
          </cell>
          <cell r="O800">
            <v>0</v>
          </cell>
          <cell r="P800">
            <v>0</v>
          </cell>
          <cell r="Q800">
            <v>0</v>
          </cell>
          <cell r="R800">
            <v>11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1123.4666666330304</v>
          </cell>
          <cell r="Y800">
            <v>0</v>
          </cell>
          <cell r="Z800">
            <v>0</v>
          </cell>
        </row>
        <row r="801">
          <cell r="C801" t="str">
            <v>KIRKLARELİ</v>
          </cell>
          <cell r="D801" t="str">
            <v>DEMİRKÖY</v>
          </cell>
          <cell r="H801" t="str">
            <v>Dağıtım-AG</v>
          </cell>
          <cell r="I801" t="str">
            <v>Uzun</v>
          </cell>
          <cell r="J801" t="str">
            <v>Şebeke işletmecisi</v>
          </cell>
          <cell r="K801" t="str">
            <v>Bildirimsiz</v>
          </cell>
          <cell r="O801">
            <v>0</v>
          </cell>
          <cell r="P801">
            <v>0</v>
          </cell>
          <cell r="Q801">
            <v>0</v>
          </cell>
          <cell r="R801">
            <v>78</v>
          </cell>
          <cell r="S801">
            <v>0</v>
          </cell>
          <cell r="T801">
            <v>1</v>
          </cell>
          <cell r="U801">
            <v>0</v>
          </cell>
          <cell r="V801">
            <v>0</v>
          </cell>
          <cell r="W801">
            <v>0</v>
          </cell>
          <cell r="X801">
            <v>7966.3999997614883</v>
          </cell>
          <cell r="Y801">
            <v>0</v>
          </cell>
          <cell r="Z801">
            <v>102.13333333027549</v>
          </cell>
        </row>
        <row r="802">
          <cell r="C802" t="str">
            <v>KIRKLARELİ</v>
          </cell>
          <cell r="D802" t="str">
            <v>LÜLEBURGAZ</v>
          </cell>
          <cell r="H802" t="str">
            <v>Dağıtım-AG</v>
          </cell>
          <cell r="I802" t="str">
            <v>Uzun</v>
          </cell>
          <cell r="J802" t="str">
            <v>Şebeke işletmecisi</v>
          </cell>
          <cell r="K802" t="str">
            <v>Bildirimsiz</v>
          </cell>
          <cell r="O802">
            <v>0</v>
          </cell>
          <cell r="P802">
            <v>1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101.99999999720603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</row>
        <row r="803">
          <cell r="C803" t="str">
            <v>TEKİRDAĞ</v>
          </cell>
          <cell r="D803" t="str">
            <v>SARAY</v>
          </cell>
          <cell r="H803" t="str">
            <v>Dağıtım-AG</v>
          </cell>
          <cell r="I803" t="str">
            <v>Uzun</v>
          </cell>
          <cell r="J803" t="str">
            <v>Şebeke işletmecisi</v>
          </cell>
          <cell r="K803" t="str">
            <v>Bildirimsiz</v>
          </cell>
          <cell r="O803">
            <v>0</v>
          </cell>
          <cell r="P803">
            <v>0</v>
          </cell>
          <cell r="Q803">
            <v>0</v>
          </cell>
          <cell r="R803">
            <v>44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4480.6666666734964</v>
          </cell>
          <cell r="Y803">
            <v>0</v>
          </cell>
          <cell r="Z803">
            <v>0</v>
          </cell>
        </row>
        <row r="804">
          <cell r="C804" t="str">
            <v>EDİRNE</v>
          </cell>
          <cell r="D804" t="str">
            <v>KEŞAN</v>
          </cell>
          <cell r="H804" t="str">
            <v>Dağıtım-AG</v>
          </cell>
          <cell r="I804" t="str">
            <v>Uzun</v>
          </cell>
          <cell r="J804" t="str">
            <v>Şebeke işletmecisi</v>
          </cell>
          <cell r="K804" t="str">
            <v>Bildirimsiz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3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305.44999998877756</v>
          </cell>
        </row>
        <row r="805">
          <cell r="C805" t="str">
            <v>TEKİRDAĞ</v>
          </cell>
          <cell r="D805" t="str">
            <v>KAPAKLI</v>
          </cell>
          <cell r="H805" t="str">
            <v>Dağıtım-AG</v>
          </cell>
          <cell r="I805" t="str">
            <v>Uzun</v>
          </cell>
          <cell r="J805" t="str">
            <v>Şebeke işletmecisi</v>
          </cell>
          <cell r="K805" t="str">
            <v>Bildirimsiz</v>
          </cell>
          <cell r="O805">
            <v>0</v>
          </cell>
          <cell r="P805">
            <v>13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1323.4000000369269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6">
          <cell r="C806" t="str">
            <v>TEKİRDAĞ</v>
          </cell>
          <cell r="D806" t="str">
            <v>MURATLI</v>
          </cell>
          <cell r="H806" t="str">
            <v>Dağıtım-AG</v>
          </cell>
          <cell r="I806" t="str">
            <v>Uzun</v>
          </cell>
          <cell r="J806" t="str">
            <v>Şebeke işletmecisi</v>
          </cell>
          <cell r="K806" t="str">
            <v>Bildirimsiz</v>
          </cell>
          <cell r="O806">
            <v>0</v>
          </cell>
          <cell r="P806">
            <v>272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27676.00000044331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</row>
        <row r="807">
          <cell r="C807" t="str">
            <v>TEKİRDAĞ</v>
          </cell>
          <cell r="D807" t="str">
            <v>ÇERKEZKÖY</v>
          </cell>
          <cell r="H807" t="str">
            <v>Dağıtım-AG</v>
          </cell>
          <cell r="I807" t="str">
            <v>Uzun</v>
          </cell>
          <cell r="J807" t="str">
            <v>Şebeke işletmecisi</v>
          </cell>
          <cell r="K807" t="str">
            <v>Bildirimsiz</v>
          </cell>
          <cell r="O807">
            <v>0</v>
          </cell>
          <cell r="P807">
            <v>380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38664.999996637926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</row>
        <row r="808">
          <cell r="C808" t="str">
            <v>TEKİRDAĞ</v>
          </cell>
          <cell r="D808" t="str">
            <v>ÇORLU</v>
          </cell>
          <cell r="H808" t="str">
            <v>Dağıtım-AG</v>
          </cell>
          <cell r="I808" t="str">
            <v>Uzun</v>
          </cell>
          <cell r="J808" t="str">
            <v>Şebeke işletmecisi</v>
          </cell>
          <cell r="K808" t="str">
            <v>Bildirimsiz</v>
          </cell>
          <cell r="O808">
            <v>0</v>
          </cell>
          <cell r="P808">
            <v>20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2033.3333333954215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C809" t="str">
            <v>KIRKLARELİ</v>
          </cell>
          <cell r="D809" t="str">
            <v>VİZE</v>
          </cell>
          <cell r="H809" t="str">
            <v>Dağıtım-AG</v>
          </cell>
          <cell r="I809" t="str">
            <v>Uzun</v>
          </cell>
          <cell r="J809" t="str">
            <v>Şebeke işletmecisi</v>
          </cell>
          <cell r="K809" t="str">
            <v>Bildirimsiz</v>
          </cell>
          <cell r="O809">
            <v>0</v>
          </cell>
          <cell r="P809">
            <v>0</v>
          </cell>
          <cell r="Q809">
            <v>0</v>
          </cell>
          <cell r="R809">
            <v>1</v>
          </cell>
          <cell r="S809">
            <v>0</v>
          </cell>
          <cell r="T809">
            <v>47</v>
          </cell>
          <cell r="U809">
            <v>0</v>
          </cell>
          <cell r="V809">
            <v>0</v>
          </cell>
          <cell r="W809">
            <v>0</v>
          </cell>
          <cell r="X809">
            <v>101.45000000484288</v>
          </cell>
          <cell r="Y809">
            <v>0</v>
          </cell>
          <cell r="Z809">
            <v>4768.1500002276152</v>
          </cell>
        </row>
        <row r="810">
          <cell r="C810" t="str">
            <v>TEKİRDAĞ</v>
          </cell>
          <cell r="D810" t="str">
            <v>ÇERKEZKÖY</v>
          </cell>
          <cell r="H810" t="str">
            <v>Dağıtım-OG</v>
          </cell>
          <cell r="I810" t="str">
            <v>Uzun</v>
          </cell>
          <cell r="J810" t="str">
            <v>Şebeke işletmecisi</v>
          </cell>
          <cell r="K810" t="str">
            <v>Bildirimli</v>
          </cell>
          <cell r="O810">
            <v>1</v>
          </cell>
          <cell r="P810">
            <v>251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101.31666667177342</v>
          </cell>
          <cell r="V810">
            <v>25430.483334615128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1">
          <cell r="C811" t="str">
            <v>KIRKLARELİ</v>
          </cell>
          <cell r="D811" t="str">
            <v>PEHLİVANKÖY</v>
          </cell>
          <cell r="H811" t="str">
            <v>Dağıtım-AG</v>
          </cell>
          <cell r="I811" t="str">
            <v>Uzun</v>
          </cell>
          <cell r="J811" t="str">
            <v>Şebeke işletmecisi</v>
          </cell>
          <cell r="K811" t="str">
            <v>Bildirimsiz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30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3038.9999997220002</v>
          </cell>
        </row>
        <row r="812">
          <cell r="C812" t="str">
            <v>TEKİRDAĞ</v>
          </cell>
          <cell r="D812" t="str">
            <v>MARMARAEREĞLİSİ</v>
          </cell>
          <cell r="H812" t="str">
            <v>Dağıtım-AG</v>
          </cell>
          <cell r="I812" t="str">
            <v>Uzun</v>
          </cell>
          <cell r="J812" t="str">
            <v>Şebeke işletmecisi</v>
          </cell>
          <cell r="K812" t="str">
            <v>Bildirimsiz</v>
          </cell>
          <cell r="O812">
            <v>0</v>
          </cell>
          <cell r="P812">
            <v>0</v>
          </cell>
          <cell r="Q812">
            <v>0</v>
          </cell>
          <cell r="R812">
            <v>8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809.33333334513009</v>
          </cell>
          <cell r="Y812">
            <v>0</v>
          </cell>
          <cell r="Z812">
            <v>0</v>
          </cell>
        </row>
        <row r="813">
          <cell r="C813" t="str">
            <v>EDİRNE</v>
          </cell>
          <cell r="D813" t="str">
            <v>KEŞAN</v>
          </cell>
          <cell r="H813" t="str">
            <v>Dağıtım-OG</v>
          </cell>
          <cell r="I813" t="str">
            <v>Uzun</v>
          </cell>
          <cell r="J813" t="str">
            <v>Şebeke işletmecisi</v>
          </cell>
          <cell r="K813" t="str">
            <v>Bildirimsiz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1</v>
          </cell>
          <cell r="T813">
            <v>183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100.7999999995809</v>
          </cell>
          <cell r="Z813">
            <v>18446.399999923306</v>
          </cell>
        </row>
        <row r="814">
          <cell r="C814" t="str">
            <v>EDİRNE</v>
          </cell>
          <cell r="D814" t="str">
            <v>UZUNKÖPRÜ</v>
          </cell>
          <cell r="H814" t="str">
            <v>Dağıtım-OG</v>
          </cell>
          <cell r="I814" t="str">
            <v>Uzun</v>
          </cell>
          <cell r="J814" t="str">
            <v>Şebeke işletmecisi</v>
          </cell>
          <cell r="K814" t="str">
            <v>Bildirimsiz</v>
          </cell>
          <cell r="O814">
            <v>1</v>
          </cell>
          <cell r="P814">
            <v>0</v>
          </cell>
          <cell r="Q814">
            <v>0</v>
          </cell>
          <cell r="R814">
            <v>0</v>
          </cell>
          <cell r="S814">
            <v>3</v>
          </cell>
          <cell r="T814">
            <v>0</v>
          </cell>
          <cell r="U814">
            <v>100.75000000884756</v>
          </cell>
          <cell r="V814">
            <v>0</v>
          </cell>
          <cell r="W814">
            <v>0</v>
          </cell>
          <cell r="X814">
            <v>0</v>
          </cell>
          <cell r="Y814">
            <v>302.25000002654269</v>
          </cell>
          <cell r="Z814">
            <v>0</v>
          </cell>
        </row>
        <row r="815">
          <cell r="C815" t="str">
            <v>EDİRNE</v>
          </cell>
          <cell r="D815" t="str">
            <v>KEŞAN</v>
          </cell>
          <cell r="H815" t="str">
            <v>Dağıtım-AG</v>
          </cell>
          <cell r="I815" t="str">
            <v>Uzun</v>
          </cell>
          <cell r="J815" t="str">
            <v>Şebeke işletmecisi</v>
          </cell>
          <cell r="K815" t="str">
            <v>Bildirimsiz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2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201.30000001285225</v>
          </cell>
        </row>
        <row r="816">
          <cell r="C816" t="str">
            <v>EDİRNE</v>
          </cell>
          <cell r="D816" t="str">
            <v>EDİRNEMERKEZ</v>
          </cell>
          <cell r="H816" t="str">
            <v>Dağıtım-AG</v>
          </cell>
          <cell r="I816" t="str">
            <v>Uzun</v>
          </cell>
          <cell r="J816" t="str">
            <v>Şebeke işletmecisi</v>
          </cell>
          <cell r="K816" t="str">
            <v>Bildirimsiz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41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4120.5000001145527</v>
          </cell>
        </row>
        <row r="817">
          <cell r="C817" t="str">
            <v>TEKİRDAĞ</v>
          </cell>
          <cell r="D817" t="str">
            <v>MARMARAEREĞLİSİ</v>
          </cell>
          <cell r="H817" t="str">
            <v>Dağıtım-OG</v>
          </cell>
          <cell r="I817" t="str">
            <v>Uzun</v>
          </cell>
          <cell r="J817" t="str">
            <v>Şebeke işletmecisi</v>
          </cell>
          <cell r="K817" t="str">
            <v>Bildirimli</v>
          </cell>
          <cell r="O817">
            <v>5</v>
          </cell>
          <cell r="P817">
            <v>45</v>
          </cell>
          <cell r="Q817">
            <v>38</v>
          </cell>
          <cell r="R817">
            <v>9492</v>
          </cell>
          <cell r="S817">
            <v>0</v>
          </cell>
          <cell r="T817">
            <v>15</v>
          </cell>
          <cell r="U817">
            <v>502.41666666115634</v>
          </cell>
          <cell r="V817">
            <v>4521.7499999504071</v>
          </cell>
          <cell r="W817">
            <v>3818.3666666247882</v>
          </cell>
          <cell r="X817">
            <v>953787.7999895392</v>
          </cell>
          <cell r="Y817">
            <v>0</v>
          </cell>
          <cell r="Z817">
            <v>1507.249999983469</v>
          </cell>
        </row>
        <row r="818">
          <cell r="C818" t="str">
            <v>TEKİRDAĞ</v>
          </cell>
          <cell r="D818" t="str">
            <v>ÇERKEZKÖY</v>
          </cell>
          <cell r="H818" t="str">
            <v>Dağıtım-AG</v>
          </cell>
          <cell r="I818" t="str">
            <v>Uzun</v>
          </cell>
          <cell r="J818" t="str">
            <v>Şebeke işletmecisi</v>
          </cell>
          <cell r="K818" t="str">
            <v>Bildirimsiz</v>
          </cell>
          <cell r="O818">
            <v>0</v>
          </cell>
          <cell r="P818">
            <v>704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70646.399999409914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C819" t="str">
            <v>KIRKLARELİ</v>
          </cell>
          <cell r="D819" t="str">
            <v>LÜLEBURGAZ</v>
          </cell>
          <cell r="H819" t="str">
            <v>Dağıtım-OG</v>
          </cell>
          <cell r="I819" t="str">
            <v>Uzun</v>
          </cell>
          <cell r="J819" t="str">
            <v>Şebeke işletmecisi</v>
          </cell>
          <cell r="K819" t="str">
            <v>Bildirimli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18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1805.999999914784</v>
          </cell>
          <cell r="Z819">
            <v>0</v>
          </cell>
        </row>
        <row r="820">
          <cell r="C820" t="str">
            <v>TEKİRDAĞ</v>
          </cell>
          <cell r="D820" t="str">
            <v>SARAY</v>
          </cell>
          <cell r="H820" t="str">
            <v>Dağıtım-AG</v>
          </cell>
          <cell r="I820" t="str">
            <v>Uzun</v>
          </cell>
          <cell r="J820" t="str">
            <v>Şebeke işletmecisi</v>
          </cell>
          <cell r="K820" t="str">
            <v>Bildirimsiz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100.30000000842847</v>
          </cell>
          <cell r="Y820">
            <v>0</v>
          </cell>
          <cell r="Z820">
            <v>0</v>
          </cell>
        </row>
        <row r="821">
          <cell r="C821" t="str">
            <v>TEKİRDAĞ</v>
          </cell>
          <cell r="D821" t="str">
            <v>MARMARAEREĞLİSİ</v>
          </cell>
          <cell r="H821" t="str">
            <v>Dağıtım-OG</v>
          </cell>
          <cell r="I821" t="str">
            <v>Uzun</v>
          </cell>
          <cell r="J821" t="str">
            <v>Şebeke işletmecisi</v>
          </cell>
          <cell r="K821" t="str">
            <v>Bildirimli</v>
          </cell>
          <cell r="O821">
            <v>0</v>
          </cell>
          <cell r="P821">
            <v>1633</v>
          </cell>
          <cell r="Q821">
            <v>0</v>
          </cell>
          <cell r="R821">
            <v>14</v>
          </cell>
          <cell r="S821">
            <v>0</v>
          </cell>
          <cell r="T821">
            <v>0</v>
          </cell>
          <cell r="U821">
            <v>0</v>
          </cell>
          <cell r="V821">
            <v>163762.6833407348</v>
          </cell>
          <cell r="W821">
            <v>0</v>
          </cell>
          <cell r="X821">
            <v>1403.9666667301208</v>
          </cell>
          <cell r="Y821">
            <v>0</v>
          </cell>
          <cell r="Z821">
            <v>0</v>
          </cell>
        </row>
        <row r="822">
          <cell r="C822" t="str">
            <v>EDİRNE</v>
          </cell>
          <cell r="D822" t="str">
            <v>HAVSA</v>
          </cell>
          <cell r="H822" t="str">
            <v>Dağıtım-AG</v>
          </cell>
          <cell r="I822" t="str">
            <v>Uzun</v>
          </cell>
          <cell r="J822" t="str">
            <v>Şebeke işletmecisi</v>
          </cell>
          <cell r="K822" t="str">
            <v>Bildirimsiz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6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601.49999998044223</v>
          </cell>
        </row>
        <row r="823">
          <cell r="C823" t="str">
            <v>TEKİRDAĞ</v>
          </cell>
          <cell r="D823" t="str">
            <v>SARAY</v>
          </cell>
          <cell r="H823" t="str">
            <v>Dağıtım-AG</v>
          </cell>
          <cell r="I823" t="str">
            <v>Uzun</v>
          </cell>
          <cell r="J823" t="str">
            <v>Şebeke işletmecisi</v>
          </cell>
          <cell r="K823" t="str">
            <v>Bildirimsiz</v>
          </cell>
          <cell r="O823">
            <v>0</v>
          </cell>
          <cell r="P823">
            <v>0</v>
          </cell>
          <cell r="Q823">
            <v>0</v>
          </cell>
          <cell r="R823">
            <v>6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601.10000001266599</v>
          </cell>
          <cell r="Y823">
            <v>0</v>
          </cell>
          <cell r="Z823">
            <v>0</v>
          </cell>
        </row>
        <row r="824">
          <cell r="C824" t="str">
            <v>TEKİRDAĞ</v>
          </cell>
          <cell r="D824" t="str">
            <v>ŞARKÖY</v>
          </cell>
          <cell r="H824" t="str">
            <v>Dağıtım-AG</v>
          </cell>
          <cell r="I824" t="str">
            <v>Uzun</v>
          </cell>
          <cell r="J824" t="str">
            <v>Şebeke işletmecisi</v>
          </cell>
          <cell r="K824" t="str">
            <v>Bildirimli</v>
          </cell>
          <cell r="O824">
            <v>0</v>
          </cell>
          <cell r="P824">
            <v>0</v>
          </cell>
          <cell r="Q824">
            <v>0</v>
          </cell>
          <cell r="R824">
            <v>23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2302.683333264431</v>
          </cell>
          <cell r="Y824">
            <v>0</v>
          </cell>
          <cell r="Z824">
            <v>0</v>
          </cell>
        </row>
        <row r="825">
          <cell r="C825" t="str">
            <v>KIRKLARELİ</v>
          </cell>
          <cell r="D825" t="str">
            <v>KOFÇAZ</v>
          </cell>
          <cell r="H825" t="str">
            <v>Dağıtım-OG</v>
          </cell>
          <cell r="I825" t="str">
            <v>Uzun</v>
          </cell>
          <cell r="J825" t="str">
            <v>Şebeke işletmecisi</v>
          </cell>
          <cell r="K825" t="str">
            <v>Bildirimsiz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  <cell r="T825">
            <v>44</v>
          </cell>
          <cell r="U825">
            <v>0</v>
          </cell>
          <cell r="V825">
            <v>0</v>
          </cell>
          <cell r="W825">
            <v>0</v>
          </cell>
          <cell r="X825">
            <v>100.08333333302289</v>
          </cell>
          <cell r="Y825">
            <v>0</v>
          </cell>
          <cell r="Z825">
            <v>4403.6666666530073</v>
          </cell>
        </row>
        <row r="826">
          <cell r="C826" t="str">
            <v>TEKİRDAĞ</v>
          </cell>
          <cell r="D826" t="str">
            <v>ÇERKEZKÖY</v>
          </cell>
          <cell r="H826" t="str">
            <v>Dağıtım-AG</v>
          </cell>
          <cell r="I826" t="str">
            <v>Uzun</v>
          </cell>
          <cell r="J826" t="str">
            <v>Şebeke işletmecisi</v>
          </cell>
          <cell r="K826" t="str">
            <v>Bildirimsiz</v>
          </cell>
          <cell r="O826">
            <v>0</v>
          </cell>
          <cell r="P826">
            <v>38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3802.5333331734873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</row>
        <row r="827">
          <cell r="C827" t="str">
            <v>TEKİRDAĞ</v>
          </cell>
          <cell r="D827" t="str">
            <v>ŞARKÖY</v>
          </cell>
          <cell r="H827" t="str">
            <v>Dağıtım-AG</v>
          </cell>
          <cell r="I827" t="str">
            <v>Uzun</v>
          </cell>
          <cell r="J827" t="str">
            <v>Şebeke işletmecisi</v>
          </cell>
          <cell r="K827" t="str">
            <v>Bildirimli</v>
          </cell>
          <cell r="O827">
            <v>0</v>
          </cell>
          <cell r="P827">
            <v>0</v>
          </cell>
          <cell r="Q827">
            <v>0</v>
          </cell>
          <cell r="R827">
            <v>154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15400.00000017928</v>
          </cell>
          <cell r="Y827">
            <v>0</v>
          </cell>
          <cell r="Z827">
            <v>0</v>
          </cell>
        </row>
        <row r="828">
          <cell r="C828" t="str">
            <v>TEKİRDAĞ</v>
          </cell>
          <cell r="D828" t="str">
            <v>MARMARAEREĞLİSİ</v>
          </cell>
          <cell r="H828" t="str">
            <v>Dağıtım-AG</v>
          </cell>
          <cell r="I828" t="str">
            <v>Uzun</v>
          </cell>
          <cell r="J828" t="str">
            <v>Şebeke işletmecisi</v>
          </cell>
          <cell r="K828" t="str">
            <v>Bildirimsiz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99.600000001955777</v>
          </cell>
          <cell r="Y828">
            <v>0</v>
          </cell>
          <cell r="Z828">
            <v>0</v>
          </cell>
        </row>
        <row r="829">
          <cell r="C829" t="str">
            <v>TEKİRDAĞ</v>
          </cell>
          <cell r="D829" t="str">
            <v>MARMARAEREĞLİSİ</v>
          </cell>
          <cell r="H829" t="str">
            <v>Dağıtım-AG</v>
          </cell>
          <cell r="I829" t="str">
            <v>Uzun</v>
          </cell>
          <cell r="J829" t="str">
            <v>Şebeke işletmecisi</v>
          </cell>
          <cell r="K829" t="str">
            <v>Bildirimsiz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99.599999991478398</v>
          </cell>
          <cell r="Y829">
            <v>0</v>
          </cell>
          <cell r="Z829">
            <v>0</v>
          </cell>
        </row>
        <row r="830">
          <cell r="C830" t="str">
            <v>TEKİRDAĞ</v>
          </cell>
          <cell r="D830" t="str">
            <v>ERGENE</v>
          </cell>
          <cell r="H830" t="str">
            <v>Dağıtım-AG</v>
          </cell>
          <cell r="I830" t="str">
            <v>Uzun</v>
          </cell>
          <cell r="J830" t="str">
            <v>Şebeke işletmecisi</v>
          </cell>
          <cell r="K830" t="str">
            <v>Bildirimsiz</v>
          </cell>
          <cell r="O830">
            <v>0</v>
          </cell>
          <cell r="P830">
            <v>91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9059.0500000678003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</row>
        <row r="831">
          <cell r="C831" t="str">
            <v>EDİRNE</v>
          </cell>
          <cell r="D831" t="str">
            <v>KEŞAN</v>
          </cell>
          <cell r="H831" t="str">
            <v>Dağıtım-OG</v>
          </cell>
          <cell r="I831" t="str">
            <v>Uzun</v>
          </cell>
          <cell r="J831" t="str">
            <v>Şebeke işletmecisi</v>
          </cell>
          <cell r="K831" t="str">
            <v>Bildirimsiz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2</v>
          </cell>
          <cell r="T831">
            <v>147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199.10000000149012</v>
          </cell>
          <cell r="Z831">
            <v>14633.850000109524</v>
          </cell>
        </row>
        <row r="832">
          <cell r="C832" t="str">
            <v>KIRKLARELİ</v>
          </cell>
          <cell r="D832" t="str">
            <v>VİZE</v>
          </cell>
          <cell r="H832" t="str">
            <v>Dağıtım-AG</v>
          </cell>
          <cell r="I832" t="str">
            <v>Uzun</v>
          </cell>
          <cell r="J832" t="str">
            <v>Şebeke işletmecisi</v>
          </cell>
          <cell r="K832" t="str">
            <v>Bildirimsiz</v>
          </cell>
          <cell r="O832">
            <v>0</v>
          </cell>
          <cell r="P832">
            <v>0</v>
          </cell>
          <cell r="Q832">
            <v>0</v>
          </cell>
          <cell r="R832">
            <v>6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595.89999999152496</v>
          </cell>
          <cell r="Y832">
            <v>0</v>
          </cell>
          <cell r="Z832">
            <v>0</v>
          </cell>
        </row>
        <row r="833">
          <cell r="C833" t="str">
            <v>TEKİRDAĞ</v>
          </cell>
          <cell r="D833" t="str">
            <v>SÜLEYMANPAŞA</v>
          </cell>
          <cell r="H833" t="str">
            <v>Dağıtım-AG</v>
          </cell>
          <cell r="I833" t="str">
            <v>Uzun</v>
          </cell>
          <cell r="J833" t="str">
            <v>Şebeke işletmecisi</v>
          </cell>
          <cell r="K833" t="str">
            <v>Bildirimsiz</v>
          </cell>
          <cell r="O833">
            <v>0</v>
          </cell>
          <cell r="P833">
            <v>10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993.0000000516884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</row>
        <row r="834">
          <cell r="C834" t="str">
            <v>EDİRNE</v>
          </cell>
          <cell r="D834" t="str">
            <v>EDİRNEMERKEZ</v>
          </cell>
          <cell r="H834" t="str">
            <v>Dağıtım-OG</v>
          </cell>
          <cell r="I834" t="str">
            <v>Uzun</v>
          </cell>
          <cell r="J834" t="str">
            <v>Şebeke işletmecisi</v>
          </cell>
          <cell r="K834" t="str">
            <v>Bildirimsiz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1</v>
          </cell>
          <cell r="T834">
            <v>87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99.233333333395422</v>
          </cell>
          <cell r="Z834">
            <v>8633.3000000054017</v>
          </cell>
        </row>
        <row r="835">
          <cell r="C835" t="str">
            <v>TEKİRDAĞ</v>
          </cell>
          <cell r="D835" t="str">
            <v>MARMARAEREĞLİSİ</v>
          </cell>
          <cell r="H835" t="str">
            <v>Dağıtım-AG</v>
          </cell>
          <cell r="I835" t="str">
            <v>Uzun</v>
          </cell>
          <cell r="J835" t="str">
            <v>Dışsal</v>
          </cell>
          <cell r="K835" t="str">
            <v>Bildirimsiz</v>
          </cell>
          <cell r="O835">
            <v>0</v>
          </cell>
          <cell r="P835">
            <v>0</v>
          </cell>
          <cell r="Q835">
            <v>0</v>
          </cell>
          <cell r="R835">
            <v>120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11906.000000797212</v>
          </cell>
          <cell r="Y835">
            <v>0</v>
          </cell>
          <cell r="Z835">
            <v>0</v>
          </cell>
        </row>
        <row r="836">
          <cell r="C836" t="str">
            <v>KIRKLARELİ</v>
          </cell>
          <cell r="D836" t="str">
            <v>VİZE</v>
          </cell>
          <cell r="H836" t="str">
            <v>Dağıtım-AG</v>
          </cell>
          <cell r="I836" t="str">
            <v>Uzun</v>
          </cell>
          <cell r="J836" t="str">
            <v>Şebeke işletmecisi</v>
          </cell>
          <cell r="K836" t="str">
            <v>Bildirimsiz</v>
          </cell>
          <cell r="O836">
            <v>0</v>
          </cell>
          <cell r="P836">
            <v>0</v>
          </cell>
          <cell r="Q836">
            <v>0</v>
          </cell>
          <cell r="R836">
            <v>37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3667.3166664352175</v>
          </cell>
          <cell r="Y836">
            <v>0</v>
          </cell>
          <cell r="Z836">
            <v>0</v>
          </cell>
        </row>
        <row r="837">
          <cell r="C837" t="str">
            <v>TEKİRDAĞ</v>
          </cell>
          <cell r="D837" t="str">
            <v>KAPAKLI</v>
          </cell>
          <cell r="H837" t="str">
            <v>Dağıtım-AG</v>
          </cell>
          <cell r="I837" t="str">
            <v>Uzun</v>
          </cell>
          <cell r="J837" t="str">
            <v>Şebeke işletmecisi</v>
          </cell>
          <cell r="K837" t="str">
            <v>Bildirimsiz</v>
          </cell>
          <cell r="O837">
            <v>0</v>
          </cell>
          <cell r="P837">
            <v>576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57072.00000397861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</row>
        <row r="838">
          <cell r="C838" t="str">
            <v>EDİRNE</v>
          </cell>
          <cell r="D838" t="str">
            <v>İPSALA</v>
          </cell>
          <cell r="H838" t="str">
            <v>Dağıtım-OG</v>
          </cell>
          <cell r="I838" t="str">
            <v>Uzun</v>
          </cell>
          <cell r="J838" t="str">
            <v>Şebeke işletmecisi</v>
          </cell>
          <cell r="K838" t="str">
            <v>Bildirimsiz</v>
          </cell>
          <cell r="O838">
            <v>0</v>
          </cell>
          <cell r="P838">
            <v>0</v>
          </cell>
          <cell r="Q838">
            <v>1</v>
          </cell>
          <cell r="R838">
            <v>0</v>
          </cell>
          <cell r="S838">
            <v>11</v>
          </cell>
          <cell r="T838">
            <v>0</v>
          </cell>
          <cell r="U838">
            <v>0</v>
          </cell>
          <cell r="V838">
            <v>0</v>
          </cell>
          <cell r="W838">
            <v>99.049999999115244</v>
          </cell>
          <cell r="X838">
            <v>0</v>
          </cell>
          <cell r="Y838">
            <v>1089.5499999902677</v>
          </cell>
          <cell r="Z838">
            <v>0</v>
          </cell>
        </row>
        <row r="839">
          <cell r="C839" t="str">
            <v>TEKİRDAĞ</v>
          </cell>
          <cell r="D839" t="str">
            <v>ŞARKÖY</v>
          </cell>
          <cell r="H839" t="str">
            <v>Dağıtım-AG</v>
          </cell>
          <cell r="I839" t="str">
            <v>Uzun</v>
          </cell>
          <cell r="J839" t="str">
            <v>Şebeke işletmecisi</v>
          </cell>
          <cell r="K839" t="str">
            <v>Bildirimsiz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15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1484.9999999685679</v>
          </cell>
        </row>
        <row r="840">
          <cell r="C840" t="str">
            <v>TEKİRDAĞ</v>
          </cell>
          <cell r="D840" t="str">
            <v>HAYRABOLU</v>
          </cell>
          <cell r="H840" t="str">
            <v>Dağıtım-AG</v>
          </cell>
          <cell r="I840" t="str">
            <v>Uzun</v>
          </cell>
          <cell r="J840" t="str">
            <v>Şebeke işletmecisi</v>
          </cell>
          <cell r="K840" t="str">
            <v>Bildirimsiz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1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98.916666666045785</v>
          </cell>
        </row>
        <row r="841">
          <cell r="C841" t="str">
            <v>TEKİRDAĞ</v>
          </cell>
          <cell r="D841" t="str">
            <v>ERGENE</v>
          </cell>
          <cell r="H841" t="str">
            <v>Dağıtım-AG</v>
          </cell>
          <cell r="I841" t="str">
            <v>Uzun</v>
          </cell>
          <cell r="J841" t="str">
            <v>Dışsal</v>
          </cell>
          <cell r="K841" t="str">
            <v>Bildirimsiz</v>
          </cell>
          <cell r="O841">
            <v>0</v>
          </cell>
          <cell r="P841">
            <v>49</v>
          </cell>
          <cell r="Q841">
            <v>0</v>
          </cell>
          <cell r="R841">
            <v>0</v>
          </cell>
          <cell r="S841">
            <v>0</v>
          </cell>
          <cell r="T841">
            <v>2</v>
          </cell>
          <cell r="U841">
            <v>0</v>
          </cell>
          <cell r="V841">
            <v>4842.8333333751652</v>
          </cell>
          <cell r="W841">
            <v>0</v>
          </cell>
          <cell r="X841">
            <v>0</v>
          </cell>
          <cell r="Y841">
            <v>0</v>
          </cell>
          <cell r="Z841">
            <v>197.66666666837409</v>
          </cell>
        </row>
        <row r="842">
          <cell r="C842" t="str">
            <v>TEKİRDAĞ</v>
          </cell>
          <cell r="D842" t="str">
            <v>SÜLEYMANPAŞA</v>
          </cell>
          <cell r="H842" t="str">
            <v>Dağıtım-AG</v>
          </cell>
          <cell r="I842" t="str">
            <v>Uzun</v>
          </cell>
          <cell r="J842" t="str">
            <v>Şebeke işletmecisi</v>
          </cell>
          <cell r="K842" t="str">
            <v>Bildirimsiz</v>
          </cell>
          <cell r="O842">
            <v>0</v>
          </cell>
          <cell r="P842">
            <v>36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3554.3999999435619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</row>
        <row r="843">
          <cell r="C843" t="str">
            <v>EDİRNE</v>
          </cell>
          <cell r="D843" t="str">
            <v>LALAPAŞA</v>
          </cell>
          <cell r="H843" t="str">
            <v>Dağıtım-AG</v>
          </cell>
          <cell r="I843" t="str">
            <v>Uzun</v>
          </cell>
          <cell r="J843" t="str">
            <v>Şebeke işletmecisi</v>
          </cell>
          <cell r="K843" t="str">
            <v>Bildirimsiz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2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197.43333332240582</v>
          </cell>
        </row>
        <row r="844">
          <cell r="C844" t="str">
            <v>EDİRNE</v>
          </cell>
          <cell r="D844" t="str">
            <v>KEŞAN</v>
          </cell>
          <cell r="H844" t="str">
            <v>Dağıtım-OG</v>
          </cell>
          <cell r="I844" t="str">
            <v>Uzun</v>
          </cell>
          <cell r="J844" t="str">
            <v>Şebeke işletmecisi</v>
          </cell>
          <cell r="K844" t="str">
            <v>Bildirimsiz</v>
          </cell>
          <cell r="O844">
            <v>2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197.40000000223517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</row>
        <row r="845">
          <cell r="C845" t="str">
            <v>KIRKLARELİ</v>
          </cell>
          <cell r="D845" t="str">
            <v>PEHLİVANKÖY</v>
          </cell>
          <cell r="H845" t="str">
            <v>Dağıtım-OG</v>
          </cell>
          <cell r="I845" t="str">
            <v>Uzun</v>
          </cell>
          <cell r="J845" t="str">
            <v>Şebeke işletmecisi</v>
          </cell>
          <cell r="K845" t="str">
            <v>Bildirimli</v>
          </cell>
          <cell r="O845">
            <v>0</v>
          </cell>
          <cell r="P845">
            <v>0</v>
          </cell>
          <cell r="Q845">
            <v>1</v>
          </cell>
          <cell r="R845">
            <v>73</v>
          </cell>
          <cell r="S845">
            <v>1</v>
          </cell>
          <cell r="T845">
            <v>256</v>
          </cell>
          <cell r="U845">
            <v>0</v>
          </cell>
          <cell r="V845">
            <v>0</v>
          </cell>
          <cell r="W845">
            <v>98.583333328133449</v>
          </cell>
          <cell r="X845">
            <v>7196.5833329537418</v>
          </cell>
          <cell r="Y845">
            <v>98.583333328133449</v>
          </cell>
          <cell r="Z845">
            <v>25237.333332002163</v>
          </cell>
        </row>
        <row r="846">
          <cell r="C846" t="str">
            <v>TEKİRDAĞ</v>
          </cell>
          <cell r="D846" t="str">
            <v>SÜLEYMANPAŞA</v>
          </cell>
          <cell r="H846" t="str">
            <v>Dağıtım-AG</v>
          </cell>
          <cell r="I846" t="str">
            <v>Uzun</v>
          </cell>
          <cell r="J846" t="str">
            <v>Şebeke işletmecisi</v>
          </cell>
          <cell r="K846" t="str">
            <v>Bildirimsiz</v>
          </cell>
          <cell r="O846">
            <v>0</v>
          </cell>
          <cell r="P846">
            <v>88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8656.2666672840714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</row>
        <row r="847">
          <cell r="C847" t="str">
            <v>TEKİRDAĞ</v>
          </cell>
          <cell r="D847" t="str">
            <v>MALKARA</v>
          </cell>
          <cell r="H847" t="str">
            <v>Dağıtım-OG</v>
          </cell>
          <cell r="I847" t="str">
            <v>Uzun</v>
          </cell>
          <cell r="J847" t="str">
            <v>Şebeke işletmecisi</v>
          </cell>
          <cell r="K847" t="str">
            <v>Bildirimsiz</v>
          </cell>
          <cell r="O847">
            <v>0</v>
          </cell>
          <cell r="P847">
            <v>146</v>
          </cell>
          <cell r="Q847">
            <v>0</v>
          </cell>
          <cell r="R847">
            <v>0</v>
          </cell>
          <cell r="S847">
            <v>0</v>
          </cell>
          <cell r="T847">
            <v>1</v>
          </cell>
          <cell r="U847">
            <v>0</v>
          </cell>
          <cell r="V847">
            <v>14361.533332827967</v>
          </cell>
          <cell r="W847">
            <v>0</v>
          </cell>
          <cell r="X847">
            <v>0</v>
          </cell>
          <cell r="Y847">
            <v>0</v>
          </cell>
          <cell r="Z847">
            <v>98.366666663205251</v>
          </cell>
        </row>
        <row r="848">
          <cell r="C848" t="str">
            <v>TEKİRDAĞ</v>
          </cell>
          <cell r="D848" t="str">
            <v>ŞARKÖY</v>
          </cell>
          <cell r="H848" t="str">
            <v>Dağıtım-AG</v>
          </cell>
          <cell r="I848" t="str">
            <v>Uzun</v>
          </cell>
          <cell r="J848" t="str">
            <v>Şebeke işletmecisi</v>
          </cell>
          <cell r="K848" t="str">
            <v>Bildirimsiz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3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295.04999997792765</v>
          </cell>
        </row>
        <row r="849">
          <cell r="C849" t="str">
            <v>TEKİRDAĞ</v>
          </cell>
          <cell r="D849" t="str">
            <v>ÇORLU</v>
          </cell>
          <cell r="H849" t="str">
            <v>Dağıtım-OG</v>
          </cell>
          <cell r="I849" t="str">
            <v>Uzun</v>
          </cell>
          <cell r="J849" t="str">
            <v>Şebeke işletmecisi</v>
          </cell>
          <cell r="K849" t="str">
            <v>Bildirimli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11</v>
          </cell>
          <cell r="T849">
            <v>2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1080.7500000076834</v>
          </cell>
          <cell r="Z849">
            <v>196.50000000139698</v>
          </cell>
        </row>
        <row r="850">
          <cell r="C850" t="str">
            <v>KIRKLARELİ</v>
          </cell>
          <cell r="D850" t="str">
            <v>VİZE</v>
          </cell>
          <cell r="H850" t="str">
            <v>Dağıtım-AG</v>
          </cell>
          <cell r="I850" t="str">
            <v>Uzun</v>
          </cell>
          <cell r="J850" t="str">
            <v>Şebeke işletmecisi</v>
          </cell>
          <cell r="K850" t="str">
            <v>Bildirimsiz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1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98.183333339402452</v>
          </cell>
        </row>
        <row r="851">
          <cell r="C851" t="str">
            <v>TEKİRDAĞ</v>
          </cell>
          <cell r="D851" t="str">
            <v>ÇORLU</v>
          </cell>
          <cell r="H851" t="str">
            <v>Dağıtım-AG</v>
          </cell>
          <cell r="I851" t="str">
            <v>Uzun</v>
          </cell>
          <cell r="J851" t="str">
            <v>Şebeke işletmecisi</v>
          </cell>
          <cell r="K851" t="str">
            <v>Bildirimsiz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34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3331.4333333750255</v>
          </cell>
        </row>
        <row r="852">
          <cell r="C852" t="str">
            <v>EDİRNE</v>
          </cell>
          <cell r="D852" t="str">
            <v>KEŞAN</v>
          </cell>
          <cell r="H852" t="str">
            <v>Dağıtım-OG</v>
          </cell>
          <cell r="I852" t="str">
            <v>Uzun</v>
          </cell>
          <cell r="J852" t="str">
            <v>Şebeke işletmecisi</v>
          </cell>
          <cell r="K852" t="str">
            <v>Bildirimsiz</v>
          </cell>
          <cell r="O852">
            <v>0</v>
          </cell>
          <cell r="P852">
            <v>7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685.53333333344199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</row>
        <row r="853">
          <cell r="C853" t="str">
            <v>EDİRNE</v>
          </cell>
          <cell r="D853" t="str">
            <v>EDİRNEMERKEZ</v>
          </cell>
          <cell r="H853" t="str">
            <v>Dağıtım-OG</v>
          </cell>
          <cell r="I853" t="str">
            <v>Uzun</v>
          </cell>
          <cell r="J853" t="str">
            <v>Şebeke işletmecisi</v>
          </cell>
          <cell r="K853" t="str">
            <v>Bildirimsiz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18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1761.5999999083579</v>
          </cell>
        </row>
        <row r="854">
          <cell r="C854" t="str">
            <v>TEKİRDAĞ</v>
          </cell>
          <cell r="D854" t="str">
            <v>MARMARAEREĞLİSİ</v>
          </cell>
          <cell r="H854" t="str">
            <v>Dağıtım-AG</v>
          </cell>
          <cell r="I854" t="str">
            <v>Uzun</v>
          </cell>
          <cell r="J854" t="str">
            <v>Şebeke işletmecisi</v>
          </cell>
          <cell r="K854" t="str">
            <v>Bildirimsiz</v>
          </cell>
          <cell r="O854">
            <v>0</v>
          </cell>
          <cell r="P854">
            <v>4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391.33333332370967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C855" t="str">
            <v>TEKİRDAĞ</v>
          </cell>
          <cell r="D855" t="str">
            <v>ŞARKÖY</v>
          </cell>
          <cell r="H855" t="str">
            <v>Dağıtım-AG</v>
          </cell>
          <cell r="I855" t="str">
            <v>Uzun</v>
          </cell>
          <cell r="J855" t="str">
            <v>Dışsal</v>
          </cell>
          <cell r="K855" t="str">
            <v>Bildirimsiz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4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390.93333335593343</v>
          </cell>
        </row>
        <row r="856">
          <cell r="C856" t="str">
            <v>KIRKLARELİ</v>
          </cell>
          <cell r="D856" t="str">
            <v>BABAESKİ</v>
          </cell>
          <cell r="H856" t="str">
            <v>Dağıtım-OG</v>
          </cell>
          <cell r="I856" t="str">
            <v>Uzun</v>
          </cell>
          <cell r="J856" t="str">
            <v>Şebeke işletmecisi</v>
          </cell>
          <cell r="K856" t="str">
            <v>Bildirimsiz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1</v>
          </cell>
          <cell r="T856">
            <v>255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97.699999997857958</v>
          </cell>
          <cell r="Z856">
            <v>24913.499999453779</v>
          </cell>
        </row>
        <row r="857">
          <cell r="C857" t="str">
            <v>KIRKLARELİ</v>
          </cell>
          <cell r="D857" t="str">
            <v>LÜLEBURGAZ</v>
          </cell>
          <cell r="H857" t="str">
            <v>Dağıtım-AG</v>
          </cell>
          <cell r="I857" t="str">
            <v>Uzun</v>
          </cell>
          <cell r="J857" t="str">
            <v>Şebeke işletmecisi</v>
          </cell>
          <cell r="K857" t="str">
            <v>Bildirimsiz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3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292.7500000060536</v>
          </cell>
        </row>
        <row r="858">
          <cell r="C858" t="str">
            <v>KIRKLARELİ</v>
          </cell>
          <cell r="D858" t="str">
            <v>KOFÇAZ</v>
          </cell>
          <cell r="H858" t="str">
            <v>Dağıtım-OG</v>
          </cell>
          <cell r="I858" t="str">
            <v>Uzun</v>
          </cell>
          <cell r="J858" t="str">
            <v>Şebeke işletmecisi</v>
          </cell>
          <cell r="K858" t="str">
            <v>Bildirimsiz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4</v>
          </cell>
          <cell r="T858">
            <v>178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390.06666669622064</v>
          </cell>
          <cell r="Z858">
            <v>17357.966667981818</v>
          </cell>
        </row>
        <row r="859">
          <cell r="C859" t="str">
            <v>TEKİRDAĞ</v>
          </cell>
          <cell r="D859" t="str">
            <v>HAYRABOLU</v>
          </cell>
          <cell r="H859" t="str">
            <v>Dağıtım-OG</v>
          </cell>
          <cell r="I859" t="str">
            <v>Uzun</v>
          </cell>
          <cell r="J859" t="str">
            <v>Şebeke işletmecisi</v>
          </cell>
          <cell r="K859" t="str">
            <v>Bildirimsiz</v>
          </cell>
          <cell r="O859">
            <v>0</v>
          </cell>
          <cell r="P859">
            <v>0</v>
          </cell>
          <cell r="Q859">
            <v>2</v>
          </cell>
          <cell r="R859">
            <v>1</v>
          </cell>
          <cell r="S859">
            <v>8</v>
          </cell>
          <cell r="T859">
            <v>559</v>
          </cell>
          <cell r="U859">
            <v>0</v>
          </cell>
          <cell r="V859">
            <v>0</v>
          </cell>
          <cell r="W859">
            <v>194.99999998603016</v>
          </cell>
          <cell r="X859">
            <v>97.499999993015081</v>
          </cell>
          <cell r="Y859">
            <v>779.99999994412065</v>
          </cell>
          <cell r="Z859">
            <v>54502.49999609543</v>
          </cell>
        </row>
        <row r="860">
          <cell r="C860" t="str">
            <v>KIRKLARELİ</v>
          </cell>
          <cell r="D860" t="str">
            <v>DEMİRKÖY</v>
          </cell>
          <cell r="H860" t="str">
            <v>Dağıtım-AG</v>
          </cell>
          <cell r="I860" t="str">
            <v>Uzun</v>
          </cell>
          <cell r="J860" t="str">
            <v>Şebeke işletmecisi</v>
          </cell>
          <cell r="K860" t="str">
            <v>Bildirimsiz</v>
          </cell>
          <cell r="O860">
            <v>0</v>
          </cell>
          <cell r="P860">
            <v>0</v>
          </cell>
          <cell r="Q860">
            <v>0</v>
          </cell>
          <cell r="R860">
            <v>72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7017.6000004447997</v>
          </cell>
          <cell r="Y860">
            <v>0</v>
          </cell>
          <cell r="Z860">
            <v>0</v>
          </cell>
        </row>
        <row r="861">
          <cell r="C861" t="str">
            <v>EDİRNE</v>
          </cell>
          <cell r="D861" t="str">
            <v>KEŞAN</v>
          </cell>
          <cell r="H861" t="str">
            <v>Dağıtım-AG</v>
          </cell>
          <cell r="I861" t="str">
            <v>Uzun</v>
          </cell>
          <cell r="J861" t="str">
            <v>Şebeke işletmecisi</v>
          </cell>
          <cell r="K861" t="str">
            <v>Bildirimsiz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88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8575.6000002007931</v>
          </cell>
        </row>
        <row r="862">
          <cell r="C862" t="str">
            <v>TEKİRDAĞ</v>
          </cell>
          <cell r="D862" t="str">
            <v>MARMARAEREĞLİSİ</v>
          </cell>
          <cell r="H862" t="str">
            <v>Dağıtım-AG</v>
          </cell>
          <cell r="I862" t="str">
            <v>Uzun</v>
          </cell>
          <cell r="J862" t="str">
            <v>Dışsal</v>
          </cell>
          <cell r="K862" t="str">
            <v>Bildirimsiz</v>
          </cell>
          <cell r="O862">
            <v>0</v>
          </cell>
          <cell r="P862">
            <v>0</v>
          </cell>
          <cell r="Q862">
            <v>0</v>
          </cell>
          <cell r="R862">
            <v>26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2532.8333331900649</v>
          </cell>
          <cell r="Y862">
            <v>0</v>
          </cell>
          <cell r="Z862">
            <v>0</v>
          </cell>
        </row>
        <row r="863">
          <cell r="C863" t="str">
            <v>TEKİRDAĞ</v>
          </cell>
          <cell r="D863" t="str">
            <v>KAPAKLI</v>
          </cell>
          <cell r="H863" t="str">
            <v>Dağıtım-OG</v>
          </cell>
          <cell r="I863" t="str">
            <v>Uzun</v>
          </cell>
          <cell r="J863" t="str">
            <v>Şebeke işletmecisi</v>
          </cell>
          <cell r="K863" t="str">
            <v>Bildirimsiz</v>
          </cell>
          <cell r="O863">
            <v>1</v>
          </cell>
          <cell r="P863">
            <v>194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96.966666660737246</v>
          </cell>
          <cell r="V863">
            <v>18811.533332183026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</row>
        <row r="864">
          <cell r="C864" t="str">
            <v>KIRKLARELİ</v>
          </cell>
          <cell r="D864" t="str">
            <v>PEHLİVANKÖY</v>
          </cell>
          <cell r="H864" t="str">
            <v>Dağıtım-OG</v>
          </cell>
          <cell r="I864" t="str">
            <v>Uzun</v>
          </cell>
          <cell r="J864" t="str">
            <v>Şebeke işletmecisi</v>
          </cell>
          <cell r="K864" t="str">
            <v>Bildirimsiz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189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18292.050000680611</v>
          </cell>
        </row>
        <row r="865">
          <cell r="C865" t="str">
            <v>EDİRNE</v>
          </cell>
          <cell r="D865" t="str">
            <v>UZUNKÖPRÜ</v>
          </cell>
          <cell r="H865" t="str">
            <v>Dağıtım-OG</v>
          </cell>
          <cell r="I865" t="str">
            <v>Uzun</v>
          </cell>
          <cell r="J865" t="str">
            <v>Şebeke işletmecisi</v>
          </cell>
          <cell r="K865" t="str">
            <v>Bildirimsiz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2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193.40000001015142</v>
          </cell>
          <cell r="Z865">
            <v>0</v>
          </cell>
        </row>
        <row r="866">
          <cell r="C866" t="str">
            <v>KIRKLARELİ</v>
          </cell>
          <cell r="D866" t="str">
            <v>VİZE</v>
          </cell>
          <cell r="H866" t="str">
            <v>Dağıtım-OG</v>
          </cell>
          <cell r="I866" t="str">
            <v>Uzun</v>
          </cell>
          <cell r="J866" t="str">
            <v>Şebeke işletmecisi</v>
          </cell>
          <cell r="K866" t="str">
            <v>Bildirimsiz</v>
          </cell>
          <cell r="O866">
            <v>0</v>
          </cell>
          <cell r="P866">
            <v>0</v>
          </cell>
          <cell r="Q866">
            <v>10</v>
          </cell>
          <cell r="R866">
            <v>1</v>
          </cell>
          <cell r="S866">
            <v>3</v>
          </cell>
          <cell r="T866">
            <v>0</v>
          </cell>
          <cell r="U866">
            <v>0</v>
          </cell>
          <cell r="V866">
            <v>0</v>
          </cell>
          <cell r="W866">
            <v>965.8333333209157</v>
          </cell>
          <cell r="X866">
            <v>96.58333333209157</v>
          </cell>
          <cell r="Y866">
            <v>289.74999999627471</v>
          </cell>
          <cell r="Z866">
            <v>0</v>
          </cell>
        </row>
        <row r="867">
          <cell r="C867" t="str">
            <v>TEKİRDAĞ</v>
          </cell>
          <cell r="D867" t="str">
            <v>MARMARAEREĞLİSİ</v>
          </cell>
          <cell r="H867" t="str">
            <v>Dağıtım-AG</v>
          </cell>
          <cell r="I867" t="str">
            <v>Uzun</v>
          </cell>
          <cell r="J867" t="str">
            <v>Şebeke işletmecisi</v>
          </cell>
          <cell r="K867" t="str">
            <v>Bildirimsiz</v>
          </cell>
          <cell r="O867">
            <v>0</v>
          </cell>
          <cell r="P867">
            <v>49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4727.683333667228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</row>
        <row r="868">
          <cell r="C868" t="str">
            <v>KIRKLARELİ</v>
          </cell>
          <cell r="D868" t="str">
            <v>DEMİRKÖY</v>
          </cell>
          <cell r="H868" t="str">
            <v>Dağıtım-OG</v>
          </cell>
          <cell r="I868" t="str">
            <v>Uzun</v>
          </cell>
          <cell r="J868" t="str">
            <v>Şebeke işletmecisi</v>
          </cell>
          <cell r="K868" t="str">
            <v>Bildirimsiz</v>
          </cell>
          <cell r="O868">
            <v>0</v>
          </cell>
          <cell r="P868">
            <v>0</v>
          </cell>
          <cell r="Q868">
            <v>1</v>
          </cell>
          <cell r="R868">
            <v>160</v>
          </cell>
          <cell r="S868">
            <v>8</v>
          </cell>
          <cell r="T868">
            <v>235</v>
          </cell>
          <cell r="U868">
            <v>0</v>
          </cell>
          <cell r="V868">
            <v>0</v>
          </cell>
          <cell r="W868">
            <v>96.449999999022111</v>
          </cell>
          <cell r="X868">
            <v>15431.999999843538</v>
          </cell>
          <cell r="Y868">
            <v>771.59999999217689</v>
          </cell>
          <cell r="Z868">
            <v>22665.749999770196</v>
          </cell>
        </row>
        <row r="869">
          <cell r="C869" t="str">
            <v>TEKİRDAĞ</v>
          </cell>
          <cell r="D869" t="str">
            <v>MALKARA</v>
          </cell>
          <cell r="H869" t="str">
            <v>Dağıtım-OG</v>
          </cell>
          <cell r="I869" t="str">
            <v>Uzun</v>
          </cell>
          <cell r="J869" t="str">
            <v>Şebeke işletmecisi</v>
          </cell>
          <cell r="K869" t="str">
            <v>Bildirimli</v>
          </cell>
          <cell r="O869">
            <v>8</v>
          </cell>
          <cell r="P869">
            <v>0</v>
          </cell>
          <cell r="Q869">
            <v>0</v>
          </cell>
          <cell r="R869">
            <v>0</v>
          </cell>
          <cell r="S869">
            <v>6</v>
          </cell>
          <cell r="T869">
            <v>965</v>
          </cell>
          <cell r="U869">
            <v>770.79999997280538</v>
          </cell>
          <cell r="V869">
            <v>0</v>
          </cell>
          <cell r="W869">
            <v>0</v>
          </cell>
          <cell r="X869">
            <v>0</v>
          </cell>
          <cell r="Y869">
            <v>578.09999997960404</v>
          </cell>
          <cell r="Z869">
            <v>92977.749996719649</v>
          </cell>
        </row>
        <row r="870">
          <cell r="C870" t="str">
            <v>KIRKLARELİ</v>
          </cell>
          <cell r="D870" t="str">
            <v>BABAESKİ</v>
          </cell>
          <cell r="H870" t="str">
            <v>Dağıtım-AG</v>
          </cell>
          <cell r="I870" t="str">
            <v>Uzun</v>
          </cell>
          <cell r="J870" t="str">
            <v>Şebeke işletmecisi</v>
          </cell>
          <cell r="K870" t="str">
            <v>Bildirimsiz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2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192.09999999962747</v>
          </cell>
        </row>
        <row r="871">
          <cell r="C871" t="str">
            <v>KIRKLARELİ</v>
          </cell>
          <cell r="D871" t="str">
            <v>BABAESKİ</v>
          </cell>
          <cell r="H871" t="str">
            <v>Dağıtım-AG</v>
          </cell>
          <cell r="I871" t="str">
            <v>Uzun</v>
          </cell>
          <cell r="J871" t="str">
            <v>Şebeke işletmecisi</v>
          </cell>
          <cell r="K871" t="str">
            <v>Bildirimsiz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21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2015.6499998888467</v>
          </cell>
        </row>
        <row r="872">
          <cell r="C872" t="str">
            <v>EDİRNE</v>
          </cell>
          <cell r="D872" t="str">
            <v>KEŞAN</v>
          </cell>
          <cell r="H872" t="str">
            <v>Dağıtım-AG</v>
          </cell>
          <cell r="I872" t="str">
            <v>Uzun</v>
          </cell>
          <cell r="J872" t="str">
            <v>Şebeke işletmecisi</v>
          </cell>
          <cell r="K872" t="str">
            <v>Bildirimsiz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61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5843.8000002584886</v>
          </cell>
        </row>
        <row r="873">
          <cell r="C873" t="str">
            <v>EDİRNE</v>
          </cell>
          <cell r="D873" t="str">
            <v>İPSALA</v>
          </cell>
          <cell r="H873" t="str">
            <v>Dağıtım-OG</v>
          </cell>
          <cell r="I873" t="str">
            <v>Uzun</v>
          </cell>
          <cell r="J873" t="str">
            <v>Şebeke işletmecisi</v>
          </cell>
          <cell r="K873" t="str">
            <v>Bildirimsiz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290</v>
          </cell>
          <cell r="U873">
            <v>0</v>
          </cell>
          <cell r="V873">
            <v>0</v>
          </cell>
          <cell r="W873">
            <v>0</v>
          </cell>
          <cell r="X873">
            <v>95.783333333674818</v>
          </cell>
          <cell r="Y873">
            <v>95.783333333674818</v>
          </cell>
          <cell r="Z873">
            <v>27777.166666765697</v>
          </cell>
        </row>
        <row r="874">
          <cell r="C874" t="str">
            <v>KIRKLARELİ</v>
          </cell>
          <cell r="D874" t="str">
            <v>KIRKLARELİMERKEZ</v>
          </cell>
          <cell r="H874" t="str">
            <v>Dağıtım-AG</v>
          </cell>
          <cell r="I874" t="str">
            <v>Uzun</v>
          </cell>
          <cell r="J874" t="str">
            <v>Şebeke işletmecisi</v>
          </cell>
          <cell r="K874" t="str">
            <v>Bildirimsiz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2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191.5000000060536</v>
          </cell>
        </row>
        <row r="875">
          <cell r="C875" t="str">
            <v>KIRKLARELİ</v>
          </cell>
          <cell r="D875" t="str">
            <v>LÜLEBURGAZ</v>
          </cell>
          <cell r="H875" t="str">
            <v>Dağıtım-AG</v>
          </cell>
          <cell r="I875" t="str">
            <v>Uzun</v>
          </cell>
          <cell r="J875" t="str">
            <v>Şebeke işletmecisi</v>
          </cell>
          <cell r="K875" t="str">
            <v>Bildirimsiz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20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1914.9999998509884</v>
          </cell>
        </row>
        <row r="876">
          <cell r="C876" t="str">
            <v>EDİRNE</v>
          </cell>
          <cell r="D876" t="str">
            <v>KEŞAN</v>
          </cell>
          <cell r="H876" t="str">
            <v>Dağıtım-OG</v>
          </cell>
          <cell r="I876" t="str">
            <v>Uzun</v>
          </cell>
          <cell r="J876" t="str">
            <v>Şebeke işletmecisi</v>
          </cell>
          <cell r="K876" t="str">
            <v>Bildirimsiz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80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7645.3333334997296</v>
          </cell>
        </row>
        <row r="877">
          <cell r="C877" t="str">
            <v>KIRKLARELİ</v>
          </cell>
          <cell r="D877" t="str">
            <v>KIRKLARELİMERKEZ</v>
          </cell>
          <cell r="H877" t="str">
            <v>Dağıtım-OG</v>
          </cell>
          <cell r="I877" t="str">
            <v>Uzun</v>
          </cell>
          <cell r="J877" t="str">
            <v>Şebeke işletmecisi</v>
          </cell>
          <cell r="K877" t="str">
            <v>Bildirimsiz</v>
          </cell>
          <cell r="O877">
            <v>2</v>
          </cell>
          <cell r="P877">
            <v>1</v>
          </cell>
          <cell r="Q877">
            <v>0</v>
          </cell>
          <cell r="R877">
            <v>0</v>
          </cell>
          <cell r="S877">
            <v>10</v>
          </cell>
          <cell r="T877">
            <v>0</v>
          </cell>
          <cell r="U877">
            <v>191.09999999636784</v>
          </cell>
          <cell r="V877">
            <v>95.549999998183921</v>
          </cell>
          <cell r="W877">
            <v>0</v>
          </cell>
          <cell r="X877">
            <v>0</v>
          </cell>
          <cell r="Y877">
            <v>955.49999998183921</v>
          </cell>
          <cell r="Z877">
            <v>0</v>
          </cell>
        </row>
        <row r="878">
          <cell r="C878" t="str">
            <v>TEKİRDAĞ</v>
          </cell>
          <cell r="D878" t="str">
            <v>SÜLEYMANPAŞA</v>
          </cell>
          <cell r="H878" t="str">
            <v>Dağıtım-AG</v>
          </cell>
          <cell r="I878" t="str">
            <v>Uzun</v>
          </cell>
          <cell r="J878" t="str">
            <v>Şebeke işletmecisi</v>
          </cell>
          <cell r="K878" t="str">
            <v>Bildirimsiz</v>
          </cell>
          <cell r="O878">
            <v>0</v>
          </cell>
          <cell r="P878">
            <v>1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95.350000003818423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</row>
        <row r="879">
          <cell r="C879" t="str">
            <v>EDİRNE</v>
          </cell>
          <cell r="D879" t="str">
            <v>EDİRNEMERKEZ</v>
          </cell>
          <cell r="H879" t="str">
            <v>Dağıtım-OG</v>
          </cell>
          <cell r="I879" t="str">
            <v>Uzun</v>
          </cell>
          <cell r="J879" t="str">
            <v>Şebeke işletmecisi</v>
          </cell>
          <cell r="K879" t="str">
            <v>Bildirimsiz</v>
          </cell>
          <cell r="O879">
            <v>0</v>
          </cell>
          <cell r="P879">
            <v>361</v>
          </cell>
          <cell r="Q879">
            <v>0</v>
          </cell>
          <cell r="R879">
            <v>0</v>
          </cell>
          <cell r="S879">
            <v>0</v>
          </cell>
          <cell r="T879">
            <v>1</v>
          </cell>
          <cell r="U879">
            <v>0</v>
          </cell>
          <cell r="V879">
            <v>34409.316669014515</v>
          </cell>
          <cell r="W879">
            <v>0</v>
          </cell>
          <cell r="X879">
            <v>0</v>
          </cell>
          <cell r="Y879">
            <v>0</v>
          </cell>
          <cell r="Z879">
            <v>95.316666673170403</v>
          </cell>
        </row>
        <row r="880">
          <cell r="C880" t="str">
            <v>KIRKLARELİ</v>
          </cell>
          <cell r="D880" t="str">
            <v>BABAESKİ</v>
          </cell>
          <cell r="H880" t="str">
            <v>Dağıtım-AG</v>
          </cell>
          <cell r="I880" t="str">
            <v>Uzun</v>
          </cell>
          <cell r="J880" t="str">
            <v>Şebeke işletmecisi</v>
          </cell>
          <cell r="K880" t="str">
            <v>Bildirimsiz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120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11422.000000812113</v>
          </cell>
        </row>
        <row r="881">
          <cell r="C881" t="str">
            <v>KIRKLARELİ</v>
          </cell>
          <cell r="D881" t="str">
            <v>VİZE</v>
          </cell>
          <cell r="H881" t="str">
            <v>Dağıtım-AG</v>
          </cell>
          <cell r="I881" t="str">
            <v>Uzun</v>
          </cell>
          <cell r="J881" t="str">
            <v>Şebeke işletmecisi</v>
          </cell>
          <cell r="K881" t="str">
            <v>Bildirimsiz</v>
          </cell>
          <cell r="O881">
            <v>0</v>
          </cell>
          <cell r="P881">
            <v>0</v>
          </cell>
          <cell r="Q881">
            <v>0</v>
          </cell>
          <cell r="R881">
            <v>64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6091.7333330959082</v>
          </cell>
          <cell r="Y881">
            <v>0</v>
          </cell>
          <cell r="Z881">
            <v>0</v>
          </cell>
        </row>
        <row r="882">
          <cell r="C882" t="str">
            <v>KIRKLARELİ</v>
          </cell>
          <cell r="D882" t="str">
            <v>KOFÇAZ</v>
          </cell>
          <cell r="H882" t="str">
            <v>Dağıtım-OG</v>
          </cell>
          <cell r="I882" t="str">
            <v>Uzun</v>
          </cell>
          <cell r="J882" t="str">
            <v>Şebeke işletmecisi</v>
          </cell>
          <cell r="K882" t="str">
            <v>Bildirimsiz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4</v>
          </cell>
          <cell r="T882">
            <v>179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379.13333336357027</v>
          </cell>
          <cell r="Z882">
            <v>16966.21666801977</v>
          </cell>
        </row>
        <row r="883">
          <cell r="C883" t="str">
            <v>KIRKLARELİ</v>
          </cell>
          <cell r="D883" t="str">
            <v>PINARHİSAR</v>
          </cell>
          <cell r="H883" t="str">
            <v>Dağıtım-AG</v>
          </cell>
          <cell r="I883" t="str">
            <v>Uzun</v>
          </cell>
          <cell r="J883" t="str">
            <v>Şebeke işletmecisi</v>
          </cell>
          <cell r="K883" t="str">
            <v>Bildirimsiz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12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1136.8000000761822</v>
          </cell>
        </row>
        <row r="884">
          <cell r="C884" t="str">
            <v>KIRKLARELİ</v>
          </cell>
          <cell r="D884" t="str">
            <v>KIRKLARELİMERKEZ</v>
          </cell>
          <cell r="H884" t="str">
            <v>Dağıtım-OG</v>
          </cell>
          <cell r="I884" t="str">
            <v>Uzun</v>
          </cell>
          <cell r="J884" t="str">
            <v>Şebeke işletmecisi</v>
          </cell>
          <cell r="K884" t="str">
            <v>Bildirimsiz</v>
          </cell>
          <cell r="O884">
            <v>2</v>
          </cell>
          <cell r="P884">
            <v>0</v>
          </cell>
          <cell r="Q884">
            <v>0</v>
          </cell>
          <cell r="R884">
            <v>0</v>
          </cell>
          <cell r="S884">
            <v>30</v>
          </cell>
          <cell r="T884">
            <v>415</v>
          </cell>
          <cell r="U884">
            <v>189.46666665840894</v>
          </cell>
          <cell r="V884">
            <v>0</v>
          </cell>
          <cell r="W884">
            <v>0</v>
          </cell>
          <cell r="X884">
            <v>0</v>
          </cell>
          <cell r="Y884">
            <v>2841.9999998761341</v>
          </cell>
          <cell r="Z884">
            <v>39314.333331619855</v>
          </cell>
        </row>
        <row r="885">
          <cell r="C885" t="str">
            <v>TEKİRDAĞ</v>
          </cell>
          <cell r="D885" t="str">
            <v>ERGENE</v>
          </cell>
          <cell r="H885" t="str">
            <v>Dağıtım-OG</v>
          </cell>
          <cell r="I885" t="str">
            <v>Uzun</v>
          </cell>
          <cell r="J885" t="str">
            <v>Şebeke işletmecisi</v>
          </cell>
          <cell r="K885" t="str">
            <v>Bildirimsiz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141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13350.349999247119</v>
          </cell>
        </row>
        <row r="886">
          <cell r="C886" t="str">
            <v>TEKİRDAĞ</v>
          </cell>
          <cell r="D886" t="str">
            <v>MARMARAEREĞLİSİ</v>
          </cell>
          <cell r="H886" t="str">
            <v>Dağıtım-AG</v>
          </cell>
          <cell r="I886" t="str">
            <v>Uzun</v>
          </cell>
          <cell r="J886" t="str">
            <v>Şebeke işletmecisi</v>
          </cell>
          <cell r="K886" t="str">
            <v>Bildirimsiz</v>
          </cell>
          <cell r="O886">
            <v>0</v>
          </cell>
          <cell r="P886">
            <v>1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94.66666666790843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</row>
        <row r="887">
          <cell r="C887" t="str">
            <v>KIRKLARELİ</v>
          </cell>
          <cell r="D887" t="str">
            <v>KIRKLARELİMERKEZ</v>
          </cell>
          <cell r="H887" t="str">
            <v>Dağıtım-OG</v>
          </cell>
          <cell r="I887" t="str">
            <v>Uzun</v>
          </cell>
          <cell r="J887" t="str">
            <v>Şebeke işletmecisi</v>
          </cell>
          <cell r="K887" t="str">
            <v>Bildirimsiz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2</v>
          </cell>
          <cell r="T887">
            <v>247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189.29999999469146</v>
          </cell>
          <cell r="Z887">
            <v>23378.549999344395</v>
          </cell>
        </row>
        <row r="888">
          <cell r="C888" t="str">
            <v>EDİRNE</v>
          </cell>
          <cell r="D888" t="str">
            <v>UZUNKÖPRÜ</v>
          </cell>
          <cell r="H888" t="str">
            <v>Dağıtım-AG</v>
          </cell>
          <cell r="I888" t="str">
            <v>Uzun</v>
          </cell>
          <cell r="J888" t="str">
            <v>Şebeke işletmecisi</v>
          </cell>
          <cell r="K888" t="str">
            <v>Bildirimsiz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12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1134.1999999713153</v>
          </cell>
        </row>
        <row r="889">
          <cell r="C889" t="str">
            <v>TEKİRDAĞ</v>
          </cell>
          <cell r="D889" t="str">
            <v>SÜLEYMANPAŞA</v>
          </cell>
          <cell r="H889" t="str">
            <v>Dağıtım-AG</v>
          </cell>
          <cell r="I889" t="str">
            <v>Uzun</v>
          </cell>
          <cell r="J889" t="str">
            <v>Şebeke işletmecisi</v>
          </cell>
          <cell r="K889" t="str">
            <v>Bildirimsiz</v>
          </cell>
          <cell r="O889">
            <v>0</v>
          </cell>
          <cell r="P889">
            <v>51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4810.1500001654495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</row>
        <row r="890">
          <cell r="C890" t="str">
            <v>TEKİRDAĞ</v>
          </cell>
          <cell r="D890" t="str">
            <v>ÇORLU</v>
          </cell>
          <cell r="H890" t="str">
            <v>Dağıtım-AG</v>
          </cell>
          <cell r="I890" t="str">
            <v>Uzun</v>
          </cell>
          <cell r="J890" t="str">
            <v>Şebeke işletmecisi</v>
          </cell>
          <cell r="K890" t="str">
            <v>Bildirimsiz</v>
          </cell>
          <cell r="O890">
            <v>0</v>
          </cell>
          <cell r="P890">
            <v>822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77418.699994271155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C891" t="str">
            <v>TEKİRDAĞ</v>
          </cell>
          <cell r="D891" t="str">
            <v>KAPAKLI</v>
          </cell>
          <cell r="H891" t="str">
            <v>Dağıtım-AG</v>
          </cell>
          <cell r="I891" t="str">
            <v>Uzun</v>
          </cell>
          <cell r="J891" t="str">
            <v>Şebeke işletmecisi</v>
          </cell>
          <cell r="K891" t="str">
            <v>Bildirimsiz</v>
          </cell>
          <cell r="O891">
            <v>0</v>
          </cell>
          <cell r="P891">
            <v>1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94.133333335630596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C892" t="str">
            <v>TEKİRDAĞ</v>
          </cell>
          <cell r="D892" t="str">
            <v>MALKARA</v>
          </cell>
          <cell r="H892" t="str">
            <v>Dağıtım-OG</v>
          </cell>
          <cell r="I892" t="str">
            <v>Uzun</v>
          </cell>
          <cell r="J892" t="str">
            <v>Şebeke işletmecisi</v>
          </cell>
          <cell r="K892" t="str">
            <v>Bildirimsiz</v>
          </cell>
          <cell r="O892">
            <v>0</v>
          </cell>
          <cell r="P892">
            <v>118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11056.599999445025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3">
          <cell r="C893" t="str">
            <v>EDİRNE</v>
          </cell>
          <cell r="D893" t="str">
            <v>EDİRNEMERKEZ</v>
          </cell>
          <cell r="H893" t="str">
            <v>Dağıtım-OG</v>
          </cell>
          <cell r="I893" t="str">
            <v>Uzun</v>
          </cell>
          <cell r="J893" t="str">
            <v>Şebeke işletmecisi</v>
          </cell>
          <cell r="K893" t="str">
            <v>Bildirimsiz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3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280.90000000200234</v>
          </cell>
          <cell r="Z893">
            <v>0</v>
          </cell>
        </row>
        <row r="894">
          <cell r="C894" t="str">
            <v>TEKİRDAĞ</v>
          </cell>
          <cell r="D894" t="str">
            <v>ÇORLU</v>
          </cell>
          <cell r="H894" t="str">
            <v>Dağıtım-OG</v>
          </cell>
          <cell r="I894" t="str">
            <v>Uzun</v>
          </cell>
          <cell r="J894" t="str">
            <v>Şebeke İşletmecisi</v>
          </cell>
          <cell r="K894" t="str">
            <v>Bildirimsiz</v>
          </cell>
          <cell r="O894">
            <v>39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3645.8499998843763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</row>
        <row r="895">
          <cell r="C895" t="str">
            <v>KIRKLARELİ</v>
          </cell>
          <cell r="D895" t="str">
            <v>DEMİRKÖY</v>
          </cell>
          <cell r="H895" t="str">
            <v>Dağıtım-OG</v>
          </cell>
          <cell r="I895" t="str">
            <v>Uzun</v>
          </cell>
          <cell r="J895" t="str">
            <v>Şebeke işletmecisi</v>
          </cell>
          <cell r="K895" t="str">
            <v>Bildirimsiz</v>
          </cell>
          <cell r="O895">
            <v>0</v>
          </cell>
          <cell r="P895">
            <v>0</v>
          </cell>
          <cell r="Q895">
            <v>3</v>
          </cell>
          <cell r="R895">
            <v>2</v>
          </cell>
          <cell r="S895">
            <v>7</v>
          </cell>
          <cell r="T895">
            <v>116</v>
          </cell>
          <cell r="U895">
            <v>0</v>
          </cell>
          <cell r="V895">
            <v>0</v>
          </cell>
          <cell r="W895">
            <v>280.25000000721775</v>
          </cell>
          <cell r="X895">
            <v>186.83333333814517</v>
          </cell>
          <cell r="Y895">
            <v>653.91666668350808</v>
          </cell>
          <cell r="Z895">
            <v>10836.33333361242</v>
          </cell>
        </row>
        <row r="896">
          <cell r="C896" t="str">
            <v>TEKİRDAĞ</v>
          </cell>
          <cell r="D896" t="str">
            <v>MARMARAEREĞLİSİ</v>
          </cell>
          <cell r="H896" t="str">
            <v>Dağıtım-AG</v>
          </cell>
          <cell r="I896" t="str">
            <v>Uzun</v>
          </cell>
          <cell r="J896" t="str">
            <v>Şebeke işletmecisi</v>
          </cell>
          <cell r="K896" t="str">
            <v>Bildirimsiz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93.383333338424563</v>
          </cell>
          <cell r="Y896">
            <v>0</v>
          </cell>
          <cell r="Z896">
            <v>0</v>
          </cell>
        </row>
        <row r="897">
          <cell r="C897" t="str">
            <v>KIRKLARELİ</v>
          </cell>
          <cell r="D897" t="str">
            <v>KIRKLARELİMERKEZ</v>
          </cell>
          <cell r="H897" t="str">
            <v>Dağıtım-OG</v>
          </cell>
          <cell r="I897" t="str">
            <v>Uzun</v>
          </cell>
          <cell r="J897" t="str">
            <v>Şebeke işletmecisi</v>
          </cell>
          <cell r="K897" t="str">
            <v>Bildirimsiz</v>
          </cell>
          <cell r="O897">
            <v>0</v>
          </cell>
          <cell r="P897">
            <v>0</v>
          </cell>
          <cell r="Q897">
            <v>5</v>
          </cell>
          <cell r="R897">
            <v>0</v>
          </cell>
          <cell r="S897">
            <v>2</v>
          </cell>
          <cell r="T897">
            <v>139</v>
          </cell>
          <cell r="U897">
            <v>0</v>
          </cell>
          <cell r="V897">
            <v>0</v>
          </cell>
          <cell r="W897">
            <v>466.58333333325572</v>
          </cell>
          <cell r="X897">
            <v>0</v>
          </cell>
          <cell r="Y897">
            <v>186.63333333330229</v>
          </cell>
          <cell r="Z897">
            <v>12971.016666664509</v>
          </cell>
        </row>
        <row r="898">
          <cell r="C898" t="str">
            <v>EDİRNE</v>
          </cell>
          <cell r="D898" t="str">
            <v>ENEZ</v>
          </cell>
          <cell r="H898" t="str">
            <v>Dağıtım-AG</v>
          </cell>
          <cell r="I898" t="str">
            <v>Uzun</v>
          </cell>
          <cell r="J898" t="str">
            <v>Şebeke işletmecisi</v>
          </cell>
          <cell r="K898" t="str">
            <v>Bildirimsiz</v>
          </cell>
          <cell r="O898">
            <v>0</v>
          </cell>
          <cell r="P898">
            <v>0</v>
          </cell>
          <cell r="Q898">
            <v>0</v>
          </cell>
          <cell r="R898">
            <v>7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653.10000004596077</v>
          </cell>
          <cell r="Y898">
            <v>0</v>
          </cell>
          <cell r="Z898">
            <v>0</v>
          </cell>
        </row>
        <row r="899">
          <cell r="C899" t="str">
            <v>TEKİRDAĞ</v>
          </cell>
          <cell r="D899" t="str">
            <v>MARMARAEREĞLİSİ</v>
          </cell>
          <cell r="H899" t="str">
            <v>Dağıtım-AG</v>
          </cell>
          <cell r="I899" t="str">
            <v>Uzun</v>
          </cell>
          <cell r="J899" t="str">
            <v>Şebeke işletmecisi</v>
          </cell>
          <cell r="K899" t="str">
            <v>Bildirimsiz</v>
          </cell>
          <cell r="O899">
            <v>0</v>
          </cell>
          <cell r="P899">
            <v>0</v>
          </cell>
          <cell r="Q899">
            <v>0</v>
          </cell>
          <cell r="R899">
            <v>17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1585.2500000910368</v>
          </cell>
          <cell r="Y899">
            <v>0</v>
          </cell>
          <cell r="Z899">
            <v>0</v>
          </cell>
        </row>
        <row r="900">
          <cell r="C900" t="str">
            <v>TEKİRDAĞ</v>
          </cell>
          <cell r="D900" t="str">
            <v>MARMARAEREĞLİSİ</v>
          </cell>
          <cell r="H900" t="str">
            <v>Dağıtım-AG</v>
          </cell>
          <cell r="I900" t="str">
            <v>Uzun</v>
          </cell>
          <cell r="J900" t="str">
            <v>Şebeke işletmecisi</v>
          </cell>
          <cell r="K900" t="str">
            <v>Bildirimsiz</v>
          </cell>
          <cell r="O900">
            <v>0</v>
          </cell>
          <cell r="P900">
            <v>0</v>
          </cell>
          <cell r="Q900">
            <v>0</v>
          </cell>
          <cell r="R900">
            <v>3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279.75000001606531</v>
          </cell>
          <cell r="Y900">
            <v>0</v>
          </cell>
          <cell r="Z900">
            <v>0</v>
          </cell>
        </row>
        <row r="901">
          <cell r="C901" t="str">
            <v>EDİRNE</v>
          </cell>
          <cell r="D901" t="str">
            <v>UZUNKÖPRÜ</v>
          </cell>
          <cell r="H901" t="str">
            <v>Dağıtım-AG</v>
          </cell>
          <cell r="I901" t="str">
            <v>Uzun</v>
          </cell>
          <cell r="J901" t="str">
            <v>Şebeke işletmecisi</v>
          </cell>
          <cell r="K901" t="str">
            <v>Bildirimsiz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204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18995.799999008887</v>
          </cell>
        </row>
        <row r="902">
          <cell r="C902" t="str">
            <v>KIRKLARELİ</v>
          </cell>
          <cell r="D902" t="str">
            <v>LÜLEBURGAZ</v>
          </cell>
          <cell r="H902" t="str">
            <v>Dağıtım-AG</v>
          </cell>
          <cell r="I902" t="str">
            <v>Uzun</v>
          </cell>
          <cell r="J902" t="str">
            <v>Şebeke işletmecisi</v>
          </cell>
          <cell r="K902" t="str">
            <v>Bildirimsiz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16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1489.5999998599291</v>
          </cell>
        </row>
        <row r="903">
          <cell r="C903" t="str">
            <v>EDİRNE</v>
          </cell>
          <cell r="D903" t="str">
            <v>HAVSA</v>
          </cell>
          <cell r="H903" t="str">
            <v>Dağıtım-AG</v>
          </cell>
          <cell r="I903" t="str">
            <v>Uzun</v>
          </cell>
          <cell r="J903" t="str">
            <v>Şebeke işletmecisi</v>
          </cell>
          <cell r="K903" t="str">
            <v>Bildirimsiz</v>
          </cell>
          <cell r="O903">
            <v>0</v>
          </cell>
          <cell r="P903">
            <v>0</v>
          </cell>
          <cell r="Q903">
            <v>0</v>
          </cell>
          <cell r="R903">
            <v>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465.25000000256114</v>
          </cell>
          <cell r="Y903">
            <v>0</v>
          </cell>
          <cell r="Z903">
            <v>0</v>
          </cell>
        </row>
        <row r="904">
          <cell r="C904" t="str">
            <v>TEKİRDAĞ</v>
          </cell>
          <cell r="D904" t="str">
            <v>ERGENE</v>
          </cell>
          <cell r="H904" t="str">
            <v>Dağıtım-AG</v>
          </cell>
          <cell r="I904" t="str">
            <v>Uzun</v>
          </cell>
          <cell r="J904" t="str">
            <v>Şebeke işletmecisi</v>
          </cell>
          <cell r="K904" t="str">
            <v>Bildirimsiz</v>
          </cell>
          <cell r="O904">
            <v>0</v>
          </cell>
          <cell r="P904">
            <v>36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3340.1999996602535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</row>
        <row r="905">
          <cell r="C905" t="str">
            <v>EDİRNE</v>
          </cell>
          <cell r="D905" t="str">
            <v>UZUNKÖPRÜ</v>
          </cell>
          <cell r="H905" t="str">
            <v>Dağıtım-AG</v>
          </cell>
          <cell r="I905" t="str">
            <v>Uzun</v>
          </cell>
          <cell r="J905" t="str">
            <v>Şebeke işletmecisi</v>
          </cell>
          <cell r="K905" t="str">
            <v>Bildirimsiz</v>
          </cell>
          <cell r="O905">
            <v>0</v>
          </cell>
          <cell r="P905">
            <v>0</v>
          </cell>
          <cell r="Q905">
            <v>0</v>
          </cell>
          <cell r="R905">
            <v>14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1296.1666667601094</v>
          </cell>
          <cell r="Y905">
            <v>0</v>
          </cell>
          <cell r="Z905">
            <v>0</v>
          </cell>
        </row>
        <row r="906">
          <cell r="C906" t="str">
            <v>KIRKLARELİ</v>
          </cell>
          <cell r="D906" t="str">
            <v>BABAESKİ</v>
          </cell>
          <cell r="H906" t="str">
            <v>Dağıtım-AG</v>
          </cell>
          <cell r="I906" t="str">
            <v>Uzun</v>
          </cell>
          <cell r="J906" t="str">
            <v>Şebeke işletmecisi</v>
          </cell>
          <cell r="K906" t="str">
            <v>Bildirimsiz</v>
          </cell>
          <cell r="O906">
            <v>0</v>
          </cell>
          <cell r="P906">
            <v>11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1014.5666666468605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C907" t="str">
            <v>TEKİRDAĞ</v>
          </cell>
          <cell r="D907" t="str">
            <v>MARMARAEREĞLİSİ</v>
          </cell>
          <cell r="H907" t="str">
            <v>Dağıtım-AG</v>
          </cell>
          <cell r="I907" t="str">
            <v>Uzun</v>
          </cell>
          <cell r="J907" t="str">
            <v>Şebeke işletmecisi</v>
          </cell>
          <cell r="K907" t="str">
            <v>Bildirimsiz</v>
          </cell>
          <cell r="O907">
            <v>0</v>
          </cell>
          <cell r="P907">
            <v>0</v>
          </cell>
          <cell r="Q907">
            <v>0</v>
          </cell>
          <cell r="R907">
            <v>7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644.23333328682929</v>
          </cell>
          <cell r="Y907">
            <v>0</v>
          </cell>
          <cell r="Z907">
            <v>0</v>
          </cell>
        </row>
        <row r="908">
          <cell r="C908" t="str">
            <v>TEKİRDAĞ</v>
          </cell>
          <cell r="D908" t="str">
            <v>SÜLEYMANPAŞA</v>
          </cell>
          <cell r="H908" t="str">
            <v>Dağıtım-OG</v>
          </cell>
          <cell r="I908" t="str">
            <v>Uzun</v>
          </cell>
          <cell r="J908" t="str">
            <v>Şebeke işletmecisi</v>
          </cell>
          <cell r="K908" t="str">
            <v>Bildirimsiz</v>
          </cell>
          <cell r="O908">
            <v>2</v>
          </cell>
          <cell r="P908">
            <v>281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183.6666666646488</v>
          </cell>
          <cell r="V908">
            <v>25805.166666383157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</row>
        <row r="909">
          <cell r="C909" t="str">
            <v>TEKİRDAĞ</v>
          </cell>
          <cell r="D909" t="str">
            <v>ŞARKÖY</v>
          </cell>
          <cell r="H909" t="str">
            <v>Dağıtım-AG</v>
          </cell>
          <cell r="I909" t="str">
            <v>Uzun</v>
          </cell>
          <cell r="J909" t="str">
            <v>Şebeke işletmecisi</v>
          </cell>
          <cell r="K909" t="str">
            <v>Bildirimsiz</v>
          </cell>
          <cell r="O909">
            <v>0</v>
          </cell>
          <cell r="P909">
            <v>0</v>
          </cell>
          <cell r="Q909">
            <v>0</v>
          </cell>
          <cell r="R909">
            <v>1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91.766666660550982</v>
          </cell>
          <cell r="Y909">
            <v>0</v>
          </cell>
          <cell r="Z909">
            <v>0</v>
          </cell>
        </row>
        <row r="910">
          <cell r="C910" t="str">
            <v>EDİRNE</v>
          </cell>
          <cell r="D910" t="str">
            <v>KEŞAN</v>
          </cell>
          <cell r="H910" t="str">
            <v>Dağıtım-AG</v>
          </cell>
          <cell r="I910" t="str">
            <v>Uzun</v>
          </cell>
          <cell r="J910" t="str">
            <v>Şebeke işletmecisi</v>
          </cell>
          <cell r="K910" t="str">
            <v>Bildirimsiz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1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91.449999993201345</v>
          </cell>
        </row>
        <row r="911">
          <cell r="C911" t="str">
            <v>EDİRNE</v>
          </cell>
          <cell r="D911" t="str">
            <v>ENEZ</v>
          </cell>
          <cell r="H911" t="str">
            <v>Dağıtım-OG</v>
          </cell>
          <cell r="I911" t="str">
            <v>Uzun</v>
          </cell>
          <cell r="J911" t="str">
            <v>Şebeke işletmecisi</v>
          </cell>
          <cell r="K911" t="str">
            <v>Bildirimsiz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339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30967.65000042622</v>
          </cell>
        </row>
        <row r="912">
          <cell r="C912" t="str">
            <v>KIRKLARELİ</v>
          </cell>
          <cell r="D912" t="str">
            <v>DEMİRKÖY</v>
          </cell>
          <cell r="H912" t="str">
            <v>Dağıtım-OG</v>
          </cell>
          <cell r="I912" t="str">
            <v>Uzun</v>
          </cell>
          <cell r="J912" t="str">
            <v>Şebeke işletmecisi</v>
          </cell>
          <cell r="K912" t="str">
            <v>Bildirimsiz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2</v>
          </cell>
          <cell r="T912">
            <v>109</v>
          </cell>
          <cell r="U912">
            <v>0</v>
          </cell>
          <cell r="V912">
            <v>0</v>
          </cell>
          <cell r="W912">
            <v>0</v>
          </cell>
          <cell r="X912">
            <v>182.39999999525025</v>
          </cell>
          <cell r="Y912">
            <v>182.39999999525025</v>
          </cell>
          <cell r="Z912">
            <v>9940.7999997411389</v>
          </cell>
        </row>
        <row r="913">
          <cell r="C913" t="str">
            <v>KIRKLARELİ</v>
          </cell>
          <cell r="D913" t="str">
            <v>VİZE</v>
          </cell>
          <cell r="H913" t="str">
            <v>Dağıtım-OG</v>
          </cell>
          <cell r="I913" t="str">
            <v>Uzun</v>
          </cell>
          <cell r="J913" t="str">
            <v>Şebeke İşletmecisi</v>
          </cell>
          <cell r="K913" t="str">
            <v>Bildirimsiz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459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41746.05000094045</v>
          </cell>
        </row>
        <row r="914">
          <cell r="C914" t="str">
            <v>TEKİRDAĞ</v>
          </cell>
          <cell r="D914" t="str">
            <v>MALKARA</v>
          </cell>
          <cell r="H914" t="str">
            <v>Dağıtım-OG</v>
          </cell>
          <cell r="I914" t="str">
            <v>Uzun</v>
          </cell>
          <cell r="J914" t="str">
            <v>Şebeke işletmecisi</v>
          </cell>
          <cell r="K914" t="str">
            <v>Bildirimsiz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2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181.76666668150574</v>
          </cell>
          <cell r="Z914">
            <v>0</v>
          </cell>
        </row>
        <row r="915">
          <cell r="C915" t="str">
            <v>TEKİRDAĞ</v>
          </cell>
          <cell r="D915" t="str">
            <v>MARMARAEREĞLİSİ</v>
          </cell>
          <cell r="H915" t="str">
            <v>Dağıtım-AG</v>
          </cell>
          <cell r="I915" t="str">
            <v>Uzun</v>
          </cell>
          <cell r="J915" t="str">
            <v>Şebeke işletmecisi</v>
          </cell>
          <cell r="K915" t="str">
            <v>Bildirimsiz</v>
          </cell>
          <cell r="O915">
            <v>0</v>
          </cell>
          <cell r="P915">
            <v>5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452.41666665533558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C916" t="str">
            <v>KIRKLARELİ</v>
          </cell>
          <cell r="D916" t="str">
            <v>KOFÇAZ</v>
          </cell>
          <cell r="H916" t="str">
            <v>Dağıtım-OG</v>
          </cell>
          <cell r="I916" t="str">
            <v>Uzun</v>
          </cell>
          <cell r="J916" t="str">
            <v>Şebeke işletmecisi</v>
          </cell>
          <cell r="K916" t="str">
            <v>Bildirimsiz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5</v>
          </cell>
          <cell r="T916">
            <v>272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451.91666669561528</v>
          </cell>
          <cell r="Z916">
            <v>24584.266668241471</v>
          </cell>
        </row>
        <row r="917">
          <cell r="C917" t="str">
            <v>TEKİRDAĞ</v>
          </cell>
          <cell r="D917" t="str">
            <v>SÜLEYMANPAŞA</v>
          </cell>
          <cell r="H917" t="str">
            <v>Dağıtım-OG</v>
          </cell>
          <cell r="I917" t="str">
            <v>Uzun</v>
          </cell>
          <cell r="J917" t="str">
            <v>Şebeke işletmecisi</v>
          </cell>
          <cell r="K917" t="str">
            <v>Bildirimsiz</v>
          </cell>
          <cell r="O917">
            <v>0</v>
          </cell>
          <cell r="P917">
            <v>49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4428.7833331036381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8">
          <cell r="C918" t="str">
            <v>EDİRNE</v>
          </cell>
          <cell r="D918" t="str">
            <v>HAVSA</v>
          </cell>
          <cell r="H918" t="str">
            <v>Dağıtım-OG</v>
          </cell>
          <cell r="I918" t="str">
            <v>Uzun</v>
          </cell>
          <cell r="J918" t="str">
            <v>Şebeke işletmecisi</v>
          </cell>
          <cell r="K918" t="str">
            <v>Bildirimsiz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2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180.46666667098179</v>
          </cell>
          <cell r="Z918">
            <v>0</v>
          </cell>
        </row>
        <row r="919">
          <cell r="C919" t="str">
            <v>EDİRNE</v>
          </cell>
          <cell r="D919" t="str">
            <v>UZUNKÖPRÜ</v>
          </cell>
          <cell r="H919" t="str">
            <v>Dağıtım-OG</v>
          </cell>
          <cell r="I919" t="str">
            <v>Uzun</v>
          </cell>
          <cell r="J919" t="str">
            <v>Şebeke işletmecisi</v>
          </cell>
          <cell r="K919" t="str">
            <v>Bildirimsiz</v>
          </cell>
          <cell r="O919">
            <v>2</v>
          </cell>
          <cell r="P919">
            <v>0</v>
          </cell>
          <cell r="Q919">
            <v>0</v>
          </cell>
          <cell r="R919">
            <v>0</v>
          </cell>
          <cell r="S919">
            <v>4</v>
          </cell>
          <cell r="T919">
            <v>0</v>
          </cell>
          <cell r="U919">
            <v>180.40000000968575</v>
          </cell>
          <cell r="V919">
            <v>0</v>
          </cell>
          <cell r="W919">
            <v>0</v>
          </cell>
          <cell r="X919">
            <v>0</v>
          </cell>
          <cell r="Y919">
            <v>360.80000001937151</v>
          </cell>
          <cell r="Z919">
            <v>0</v>
          </cell>
        </row>
        <row r="920">
          <cell r="C920" t="str">
            <v>EDİRNE</v>
          </cell>
          <cell r="D920" t="str">
            <v>KEŞAN</v>
          </cell>
          <cell r="H920" t="str">
            <v>Dağıtım-AG</v>
          </cell>
          <cell r="I920" t="str">
            <v>Uzun</v>
          </cell>
          <cell r="J920" t="str">
            <v>Şebeke işletmecisi</v>
          </cell>
          <cell r="K920" t="str">
            <v>Bildirimsiz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137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12352.833334364695</v>
          </cell>
        </row>
        <row r="921">
          <cell r="C921" t="str">
            <v>TEKİRDAĞ</v>
          </cell>
          <cell r="D921" t="str">
            <v>HAYRABOLU</v>
          </cell>
          <cell r="H921" t="str">
            <v>Dağıtım-AG</v>
          </cell>
          <cell r="I921" t="str">
            <v>Uzun</v>
          </cell>
          <cell r="J921" t="str">
            <v>Şebeke işletmecisi</v>
          </cell>
          <cell r="K921" t="str">
            <v>Bildirimsiz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37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3333.7000000895932</v>
          </cell>
        </row>
        <row r="922">
          <cell r="C922" t="str">
            <v>TEKİRDAĞ</v>
          </cell>
          <cell r="D922" t="str">
            <v>ÇERKEZKÖY</v>
          </cell>
          <cell r="H922" t="str">
            <v>Dağıtım-OG</v>
          </cell>
          <cell r="I922" t="str">
            <v>Uzun</v>
          </cell>
          <cell r="J922" t="str">
            <v>Şebeke işletmecisi</v>
          </cell>
          <cell r="K922" t="str">
            <v>Bildirimli</v>
          </cell>
          <cell r="O922">
            <v>30</v>
          </cell>
          <cell r="P922">
            <v>45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2700.9999999194406</v>
          </cell>
          <cell r="V922">
            <v>4051.4999998791609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3">
          <cell r="C923" t="str">
            <v>EDİRNE</v>
          </cell>
          <cell r="D923" t="str">
            <v>İPSALA</v>
          </cell>
          <cell r="H923" t="str">
            <v>Dağıtım-AG</v>
          </cell>
          <cell r="I923" t="str">
            <v>Uzun</v>
          </cell>
          <cell r="J923" t="str">
            <v>Şebeke işletmecisi</v>
          </cell>
          <cell r="K923" t="str">
            <v>Bildirimsiz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44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3957.7999999467283</v>
          </cell>
        </row>
        <row r="924">
          <cell r="C924" t="str">
            <v>KIRKLARELİ</v>
          </cell>
          <cell r="D924" t="str">
            <v>KIRKLARELİMERKEZ</v>
          </cell>
          <cell r="H924" t="str">
            <v>Dağıtım-OG</v>
          </cell>
          <cell r="I924" t="str">
            <v>Uzun</v>
          </cell>
          <cell r="J924" t="str">
            <v>Şebeke işletmecisi</v>
          </cell>
          <cell r="K924" t="str">
            <v>Bildirimsiz</v>
          </cell>
          <cell r="O924">
            <v>0</v>
          </cell>
          <cell r="P924">
            <v>1060</v>
          </cell>
          <cell r="Q924">
            <v>0</v>
          </cell>
          <cell r="R924">
            <v>0</v>
          </cell>
          <cell r="S924">
            <v>0</v>
          </cell>
          <cell r="T924">
            <v>1</v>
          </cell>
          <cell r="U924">
            <v>0</v>
          </cell>
          <cell r="V924">
            <v>95293.999997433275</v>
          </cell>
          <cell r="W924">
            <v>0</v>
          </cell>
          <cell r="X924">
            <v>0</v>
          </cell>
          <cell r="Y924">
            <v>0</v>
          </cell>
          <cell r="Z924">
            <v>89.899999997578561</v>
          </cell>
        </row>
        <row r="925">
          <cell r="C925" t="str">
            <v>TEKİRDAĞ</v>
          </cell>
          <cell r="D925" t="str">
            <v>SÜLEYMANPAŞA</v>
          </cell>
          <cell r="H925" t="str">
            <v>Dağıtım-OG</v>
          </cell>
          <cell r="I925" t="str">
            <v>Uzun</v>
          </cell>
          <cell r="J925" t="str">
            <v>Şebeke işletmecisi</v>
          </cell>
          <cell r="K925" t="str">
            <v>Bildirimli</v>
          </cell>
          <cell r="O925">
            <v>1</v>
          </cell>
          <cell r="P925">
            <v>1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89.849999996367842</v>
          </cell>
          <cell r="V925">
            <v>89.849999996367842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C926" t="str">
            <v>EDİRNE</v>
          </cell>
          <cell r="D926" t="str">
            <v>UZUNKÖPRÜ</v>
          </cell>
          <cell r="H926" t="str">
            <v>Dağıtım-AG</v>
          </cell>
          <cell r="I926" t="str">
            <v>Uzun</v>
          </cell>
          <cell r="J926" t="str">
            <v>Şebeke işletmecisi</v>
          </cell>
          <cell r="K926" t="str">
            <v>Bildirimsiz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179.600000011269</v>
          </cell>
        </row>
        <row r="927">
          <cell r="C927" t="str">
            <v>KIRKLARELİ</v>
          </cell>
          <cell r="D927" t="str">
            <v>LÜLEBURGAZ</v>
          </cell>
          <cell r="H927" t="str">
            <v>Dağıtım-AG</v>
          </cell>
          <cell r="I927" t="str">
            <v>Uzun</v>
          </cell>
          <cell r="J927" t="str">
            <v>Şebeke işletmecisi</v>
          </cell>
          <cell r="K927" t="str">
            <v>Bildirimsiz</v>
          </cell>
          <cell r="O927">
            <v>0</v>
          </cell>
          <cell r="P927">
            <v>84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7517.9999998630956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C928" t="str">
            <v>TEKİRDAĞ</v>
          </cell>
          <cell r="D928" t="str">
            <v>ÇORLU</v>
          </cell>
          <cell r="H928" t="str">
            <v>Dağıtım-OG</v>
          </cell>
          <cell r="I928" t="str">
            <v>Uzun</v>
          </cell>
          <cell r="J928" t="str">
            <v>Şebeke işletmecisi</v>
          </cell>
          <cell r="K928" t="str">
            <v>Bildirimli</v>
          </cell>
          <cell r="O928">
            <v>10</v>
          </cell>
          <cell r="P928">
            <v>370</v>
          </cell>
          <cell r="Q928">
            <v>0</v>
          </cell>
          <cell r="R928">
            <v>0</v>
          </cell>
          <cell r="S928">
            <v>36</v>
          </cell>
          <cell r="T928">
            <v>1057</v>
          </cell>
          <cell r="U928">
            <v>893.33333334652707</v>
          </cell>
          <cell r="V928">
            <v>33053.333333821502</v>
          </cell>
          <cell r="W928">
            <v>0</v>
          </cell>
          <cell r="X928">
            <v>0</v>
          </cell>
          <cell r="Y928">
            <v>3216.0000000474975</v>
          </cell>
          <cell r="Z928">
            <v>94425.333334727911</v>
          </cell>
        </row>
        <row r="929">
          <cell r="C929" t="str">
            <v>TEKİRDAĞ</v>
          </cell>
          <cell r="D929" t="str">
            <v>ÇERKEZKÖY</v>
          </cell>
          <cell r="H929" t="str">
            <v>Dağıtım-OG</v>
          </cell>
          <cell r="I929" t="str">
            <v>Uzun</v>
          </cell>
          <cell r="J929" t="str">
            <v>Şebeke işletmecisi</v>
          </cell>
          <cell r="K929" t="str">
            <v>Bildirimsiz</v>
          </cell>
          <cell r="O929">
            <v>0</v>
          </cell>
          <cell r="P929">
            <v>474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42312.399998204783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</row>
        <row r="930">
          <cell r="C930" t="str">
            <v>TEKİRDAĞ</v>
          </cell>
          <cell r="D930" t="str">
            <v>SÜLEYMANPAŞA</v>
          </cell>
          <cell r="H930" t="str">
            <v>Dağıtım-AG</v>
          </cell>
          <cell r="I930" t="str">
            <v>Uzun</v>
          </cell>
          <cell r="J930" t="str">
            <v>Şebeke işletmecisi</v>
          </cell>
          <cell r="K930" t="str">
            <v>Bildirimsiz</v>
          </cell>
          <cell r="O930">
            <v>0</v>
          </cell>
          <cell r="P930">
            <v>4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357.00000001117587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C931" t="str">
            <v>TEKİRDAĞ</v>
          </cell>
          <cell r="D931" t="str">
            <v>ŞARKÖY</v>
          </cell>
          <cell r="H931" t="str">
            <v>Dağıtım-AG</v>
          </cell>
          <cell r="I931" t="str">
            <v>Uzun</v>
          </cell>
          <cell r="J931" t="str">
            <v>Şebeke işletmecisi</v>
          </cell>
          <cell r="K931" t="str">
            <v>Bildirimsiz</v>
          </cell>
          <cell r="O931">
            <v>0</v>
          </cell>
          <cell r="P931">
            <v>0</v>
          </cell>
          <cell r="Q931">
            <v>0</v>
          </cell>
          <cell r="R931">
            <v>10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887.99999991897494</v>
          </cell>
          <cell r="Y931">
            <v>0</v>
          </cell>
          <cell r="Z931">
            <v>0</v>
          </cell>
        </row>
        <row r="932">
          <cell r="C932" t="str">
            <v>KIRKLARELİ</v>
          </cell>
          <cell r="D932" t="str">
            <v>VİZE</v>
          </cell>
          <cell r="H932" t="str">
            <v>Dağıtım-OG</v>
          </cell>
          <cell r="I932" t="str">
            <v>Uzun</v>
          </cell>
          <cell r="J932" t="str">
            <v>Şebeke işletmecisi</v>
          </cell>
          <cell r="K932" t="str">
            <v>Bildirimsiz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2</v>
          </cell>
          <cell r="T932">
            <v>322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177.46666666120291</v>
          </cell>
          <cell r="Z932">
            <v>28572.133332453668</v>
          </cell>
        </row>
        <row r="933">
          <cell r="C933" t="str">
            <v>KIRKLARELİ</v>
          </cell>
          <cell r="D933" t="str">
            <v>DEMİRKÖY</v>
          </cell>
          <cell r="H933" t="str">
            <v>Dağıtım-AG</v>
          </cell>
          <cell r="I933" t="str">
            <v>Uzun</v>
          </cell>
          <cell r="J933" t="str">
            <v>Şebeke işletmecisi</v>
          </cell>
          <cell r="K933" t="str">
            <v>Bildirimsiz</v>
          </cell>
          <cell r="O933">
            <v>0</v>
          </cell>
          <cell r="P933">
            <v>0</v>
          </cell>
          <cell r="Q933">
            <v>0</v>
          </cell>
          <cell r="R933">
            <v>1</v>
          </cell>
          <cell r="S933">
            <v>0</v>
          </cell>
          <cell r="T933">
            <v>16</v>
          </cell>
          <cell r="U933">
            <v>0</v>
          </cell>
          <cell r="V933">
            <v>0</v>
          </cell>
          <cell r="W933">
            <v>0</v>
          </cell>
          <cell r="X933">
            <v>88.633333328180015</v>
          </cell>
          <cell r="Y933">
            <v>0</v>
          </cell>
          <cell r="Z933">
            <v>1418.1333332508802</v>
          </cell>
        </row>
        <row r="934">
          <cell r="C934" t="str">
            <v>TEKİRDAĞ</v>
          </cell>
          <cell r="D934" t="str">
            <v>SARAY</v>
          </cell>
          <cell r="H934" t="str">
            <v>Dağıtım-AG</v>
          </cell>
          <cell r="I934" t="str">
            <v>Uzun</v>
          </cell>
          <cell r="J934" t="str">
            <v>Şebeke işletmecisi</v>
          </cell>
          <cell r="K934" t="str">
            <v>Bildirimsiz</v>
          </cell>
          <cell r="O934">
            <v>0</v>
          </cell>
          <cell r="P934">
            <v>0</v>
          </cell>
          <cell r="Q934">
            <v>0</v>
          </cell>
          <cell r="R934">
            <v>4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353.13333336263895</v>
          </cell>
          <cell r="Y934">
            <v>0</v>
          </cell>
          <cell r="Z934">
            <v>0</v>
          </cell>
        </row>
        <row r="935">
          <cell r="C935" t="str">
            <v>KIRKLARELİ</v>
          </cell>
          <cell r="D935" t="str">
            <v>LÜLEBURGAZ</v>
          </cell>
          <cell r="H935" t="str">
            <v>Dağıtım-OG</v>
          </cell>
          <cell r="I935" t="str">
            <v>Uzun</v>
          </cell>
          <cell r="J935" t="str">
            <v>Şebeke işletmecisi</v>
          </cell>
          <cell r="K935" t="str">
            <v>Bildirimsiz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7</v>
          </cell>
          <cell r="T935">
            <v>676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617.86666669067927</v>
          </cell>
          <cell r="Z935">
            <v>59668.266668985598</v>
          </cell>
        </row>
        <row r="936">
          <cell r="C936" t="str">
            <v>EDİRNE</v>
          </cell>
          <cell r="D936" t="str">
            <v>UZUNKÖPRÜ</v>
          </cell>
          <cell r="H936" t="str">
            <v>Dağıtım-AG</v>
          </cell>
          <cell r="I936" t="str">
            <v>Uzun</v>
          </cell>
          <cell r="J936" t="str">
            <v>Şebeke işletmecisi</v>
          </cell>
          <cell r="K936" t="str">
            <v>Bildirimsiz</v>
          </cell>
          <cell r="O936">
            <v>0</v>
          </cell>
          <cell r="P936">
            <v>163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14365.733332227683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</row>
        <row r="937">
          <cell r="C937" t="str">
            <v>TEKİRDAĞ</v>
          </cell>
          <cell r="D937" t="str">
            <v>SÜLEYMANPAŞA</v>
          </cell>
          <cell r="H937" t="str">
            <v>Dağıtım-AG</v>
          </cell>
          <cell r="I937" t="str">
            <v>Uzun</v>
          </cell>
          <cell r="J937" t="str">
            <v>Şebeke işletmecisi</v>
          </cell>
          <cell r="K937" t="str">
            <v>Bildirimsiz</v>
          </cell>
          <cell r="O937">
            <v>0</v>
          </cell>
          <cell r="P937">
            <v>1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88.016666664043441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</row>
        <row r="938">
          <cell r="C938" t="str">
            <v>EDİRNE</v>
          </cell>
          <cell r="D938" t="str">
            <v>İPSALA</v>
          </cell>
          <cell r="H938" t="str">
            <v>Dağıtım-OG</v>
          </cell>
          <cell r="I938" t="str">
            <v>Uzun</v>
          </cell>
          <cell r="J938" t="str">
            <v>Şebeke işletmecisi</v>
          </cell>
          <cell r="K938" t="str">
            <v>Bildirimsiz</v>
          </cell>
          <cell r="O938">
            <v>0</v>
          </cell>
          <cell r="P938">
            <v>0</v>
          </cell>
          <cell r="Q938">
            <v>12</v>
          </cell>
          <cell r="R938">
            <v>1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1053.5999999893829</v>
          </cell>
          <cell r="X938">
            <v>87.799999999115244</v>
          </cell>
          <cell r="Y938">
            <v>0</v>
          </cell>
          <cell r="Z938">
            <v>0</v>
          </cell>
        </row>
        <row r="939">
          <cell r="C939" t="str">
            <v>TEKİRDAĞ</v>
          </cell>
          <cell r="D939" t="str">
            <v>SÜLEYMANPAŞA</v>
          </cell>
          <cell r="H939" t="str">
            <v>Dağıtım-AG</v>
          </cell>
          <cell r="I939" t="str">
            <v>Uzun</v>
          </cell>
          <cell r="J939" t="str">
            <v>Şebeke işletmecisi</v>
          </cell>
          <cell r="K939" t="str">
            <v>Bildirimsiz</v>
          </cell>
          <cell r="O939">
            <v>0</v>
          </cell>
          <cell r="P939">
            <v>2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175.40000001434237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C940" t="str">
            <v>KIRKLARELİ</v>
          </cell>
          <cell r="D940" t="str">
            <v>DEMİRKÖY</v>
          </cell>
          <cell r="H940" t="str">
            <v>Dağıtım-AG</v>
          </cell>
          <cell r="I940" t="str">
            <v>Uzun</v>
          </cell>
          <cell r="J940" t="str">
            <v>Şebeke işletmecisi</v>
          </cell>
          <cell r="K940" t="str">
            <v>Bildirimsiz</v>
          </cell>
          <cell r="O940">
            <v>0</v>
          </cell>
          <cell r="P940">
            <v>0</v>
          </cell>
          <cell r="Q940">
            <v>0</v>
          </cell>
          <cell r="R940">
            <v>112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9820.5333337001503</v>
          </cell>
          <cell r="Y940">
            <v>0</v>
          </cell>
          <cell r="Z940">
            <v>0</v>
          </cell>
        </row>
        <row r="941">
          <cell r="C941" t="str">
            <v>TEKİRDAĞ</v>
          </cell>
          <cell r="D941" t="str">
            <v>KAPAKLI</v>
          </cell>
          <cell r="H941" t="str">
            <v>Dağıtım-OG</v>
          </cell>
          <cell r="I941" t="str">
            <v>Uzun</v>
          </cell>
          <cell r="J941" t="str">
            <v>Şebeke işletmecisi</v>
          </cell>
          <cell r="K941" t="str">
            <v>Bildirimli</v>
          </cell>
          <cell r="O941">
            <v>4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350.73333330452442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2">
          <cell r="C942" t="str">
            <v>TEKİRDAĞ</v>
          </cell>
          <cell r="D942" t="str">
            <v>SÜLEYMANPAŞA</v>
          </cell>
          <cell r="H942" t="str">
            <v>Dağıtım-OG</v>
          </cell>
          <cell r="I942" t="str">
            <v>Uzun</v>
          </cell>
          <cell r="J942" t="str">
            <v>Şebeke işletmecisi</v>
          </cell>
          <cell r="K942" t="str">
            <v>Bildirimsiz</v>
          </cell>
          <cell r="O942">
            <v>0</v>
          </cell>
          <cell r="P942">
            <v>90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7882.5000000768341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</row>
        <row r="943">
          <cell r="C943" t="str">
            <v>TEKİRDAĞ</v>
          </cell>
          <cell r="D943" t="str">
            <v>ŞARKÖY</v>
          </cell>
          <cell r="H943" t="str">
            <v>Dağıtım-OG</v>
          </cell>
          <cell r="I943" t="str">
            <v>Uzun</v>
          </cell>
          <cell r="J943" t="str">
            <v>Şebeke işletmecisi</v>
          </cell>
          <cell r="K943" t="str">
            <v>Bildirimli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1</v>
          </cell>
          <cell r="T943">
            <v>178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87.516666662413627</v>
          </cell>
          <cell r="Z943">
            <v>15577.966665909626</v>
          </cell>
        </row>
        <row r="944">
          <cell r="C944" t="str">
            <v>TEKİRDAĞ</v>
          </cell>
          <cell r="D944" t="str">
            <v>ÇERKEZKÖY</v>
          </cell>
          <cell r="H944" t="str">
            <v>Dağıtım-AG</v>
          </cell>
          <cell r="I944" t="str">
            <v>Uzun</v>
          </cell>
          <cell r="J944" t="str">
            <v>Şebeke işletmecisi</v>
          </cell>
          <cell r="K944" t="str">
            <v>Bildirimsiz</v>
          </cell>
          <cell r="O944">
            <v>0</v>
          </cell>
          <cell r="P944">
            <v>70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6121.5000000782311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</row>
        <row r="945">
          <cell r="C945" t="str">
            <v>TEKİRDAĞ</v>
          </cell>
          <cell r="D945" t="str">
            <v>ÇORLU</v>
          </cell>
          <cell r="H945" t="str">
            <v>Dağıtım-AG</v>
          </cell>
          <cell r="I945" t="str">
            <v>Uzun</v>
          </cell>
          <cell r="J945" t="str">
            <v>Şebeke işletmecisi</v>
          </cell>
          <cell r="K945" t="str">
            <v>Bildirimsiz</v>
          </cell>
          <cell r="O945">
            <v>0</v>
          </cell>
          <cell r="P945">
            <v>20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1747.9999999981374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</row>
        <row r="946">
          <cell r="C946" t="str">
            <v>EDİRNE</v>
          </cell>
          <cell r="D946" t="str">
            <v>ENEZ</v>
          </cell>
          <cell r="H946" t="str">
            <v>Dağıtım-AG</v>
          </cell>
          <cell r="I946" t="str">
            <v>Uzun</v>
          </cell>
          <cell r="J946" t="str">
            <v>Şebeke işletmecisi</v>
          </cell>
          <cell r="K946" t="str">
            <v>Bildirimsiz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2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174.76666667964309</v>
          </cell>
        </row>
        <row r="947">
          <cell r="C947" t="str">
            <v>EDİRNE</v>
          </cell>
          <cell r="D947" t="str">
            <v>HAVSA</v>
          </cell>
          <cell r="H947" t="str">
            <v>Dağıtım-AG</v>
          </cell>
          <cell r="I947" t="str">
            <v>Uzun</v>
          </cell>
          <cell r="J947" t="str">
            <v>Şebeke işletmecisi</v>
          </cell>
          <cell r="K947" t="str">
            <v>Bildirimsiz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4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349.46666667703539</v>
          </cell>
        </row>
        <row r="948">
          <cell r="C948" t="str">
            <v>TEKİRDAĞ</v>
          </cell>
          <cell r="D948" t="str">
            <v>MARMARAEREĞLİSİ</v>
          </cell>
          <cell r="H948" t="str">
            <v>Dağıtım-AG</v>
          </cell>
          <cell r="I948" t="str">
            <v>Uzun</v>
          </cell>
          <cell r="J948" t="str">
            <v>Şebeke işletmecisi</v>
          </cell>
          <cell r="K948" t="str">
            <v>Bildirimsiz</v>
          </cell>
          <cell r="O948">
            <v>0</v>
          </cell>
          <cell r="P948">
            <v>0</v>
          </cell>
          <cell r="Q948">
            <v>0</v>
          </cell>
          <cell r="R948">
            <v>29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2530.7333333382849</v>
          </cell>
          <cell r="Y948">
            <v>0</v>
          </cell>
          <cell r="Z948">
            <v>0</v>
          </cell>
        </row>
        <row r="949">
          <cell r="C949" t="str">
            <v>EDİRNE</v>
          </cell>
          <cell r="D949" t="str">
            <v>HAVSA</v>
          </cell>
          <cell r="H949" t="str">
            <v>Dağıtım-AG</v>
          </cell>
          <cell r="I949" t="str">
            <v>Uzun</v>
          </cell>
          <cell r="J949" t="str">
            <v>Şebeke işletmecisi</v>
          </cell>
          <cell r="K949" t="str">
            <v>Bildirimsiz</v>
          </cell>
          <cell r="O949">
            <v>0</v>
          </cell>
          <cell r="P949">
            <v>0</v>
          </cell>
          <cell r="Q949">
            <v>0</v>
          </cell>
          <cell r="R949">
            <v>85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7413.4166665782686</v>
          </cell>
          <cell r="Y949">
            <v>0</v>
          </cell>
          <cell r="Z949">
            <v>0</v>
          </cell>
        </row>
        <row r="950">
          <cell r="C950" t="str">
            <v>KIRKLARELİ</v>
          </cell>
          <cell r="D950" t="str">
            <v>PINARHİSAR</v>
          </cell>
          <cell r="H950" t="str">
            <v>Dağıtım-AG</v>
          </cell>
          <cell r="I950" t="str">
            <v>Uzun</v>
          </cell>
          <cell r="J950" t="str">
            <v>Şebeke işletmecisi</v>
          </cell>
          <cell r="K950" t="str">
            <v>Bildirimsiz</v>
          </cell>
          <cell r="O950">
            <v>0</v>
          </cell>
          <cell r="P950">
            <v>0</v>
          </cell>
          <cell r="Q950">
            <v>0</v>
          </cell>
          <cell r="R950">
            <v>1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87.21666666562669</v>
          </cell>
          <cell r="Y950">
            <v>0</v>
          </cell>
          <cell r="Z950">
            <v>0</v>
          </cell>
        </row>
        <row r="951">
          <cell r="C951" t="str">
            <v>TEKİRDAĞ</v>
          </cell>
          <cell r="D951" t="str">
            <v>SARAY</v>
          </cell>
          <cell r="H951" t="str">
            <v>Dağıtım-OG</v>
          </cell>
          <cell r="I951" t="str">
            <v>Uzun</v>
          </cell>
          <cell r="J951" t="str">
            <v>Şebeke işletmecisi</v>
          </cell>
          <cell r="K951" t="str">
            <v>Bildirimsiz</v>
          </cell>
          <cell r="O951">
            <v>0</v>
          </cell>
          <cell r="P951">
            <v>0</v>
          </cell>
          <cell r="Q951">
            <v>0</v>
          </cell>
          <cell r="R951">
            <v>1</v>
          </cell>
          <cell r="S951">
            <v>1</v>
          </cell>
          <cell r="T951">
            <v>423</v>
          </cell>
          <cell r="U951">
            <v>0</v>
          </cell>
          <cell r="V951">
            <v>0</v>
          </cell>
          <cell r="W951">
            <v>0</v>
          </cell>
          <cell r="X951">
            <v>87.066666672471911</v>
          </cell>
          <cell r="Y951">
            <v>87.066666672471911</v>
          </cell>
          <cell r="Z951">
            <v>36829.200002455618</v>
          </cell>
        </row>
        <row r="952">
          <cell r="C952" t="str">
            <v>TEKİRDAĞ</v>
          </cell>
          <cell r="D952" t="str">
            <v>KAPAKLI</v>
          </cell>
          <cell r="H952" t="str">
            <v>Dağıtım-OG</v>
          </cell>
          <cell r="I952" t="str">
            <v>Uzun</v>
          </cell>
          <cell r="J952" t="str">
            <v>Şebeke işletmecisi</v>
          </cell>
          <cell r="K952" t="str">
            <v>Bildirimsiz</v>
          </cell>
          <cell r="O952">
            <v>0</v>
          </cell>
          <cell r="P952">
            <v>45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3917.9999997897539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C953" t="str">
            <v>EDİRNE</v>
          </cell>
          <cell r="D953" t="str">
            <v>İPSALA</v>
          </cell>
          <cell r="H953" t="str">
            <v>Dağıtım-AG</v>
          </cell>
          <cell r="I953" t="str">
            <v>Uzun</v>
          </cell>
          <cell r="J953" t="str">
            <v>Şebeke işletmecisi</v>
          </cell>
          <cell r="K953" t="str">
            <v>Bildirimsiz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1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86.949999999487773</v>
          </cell>
        </row>
        <row r="954">
          <cell r="C954" t="str">
            <v>KIRKLARELİ</v>
          </cell>
          <cell r="D954" t="str">
            <v>LÜLEBURGAZ</v>
          </cell>
          <cell r="H954" t="str">
            <v>Dağıtım-OG</v>
          </cell>
          <cell r="I954" t="str">
            <v>Uzun</v>
          </cell>
          <cell r="J954" t="str">
            <v>Şebeke işletmecisi</v>
          </cell>
          <cell r="K954" t="str">
            <v>Bildirimsiz</v>
          </cell>
          <cell r="O954">
            <v>0</v>
          </cell>
          <cell r="P954">
            <v>46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3997.3999999207444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</row>
        <row r="955">
          <cell r="C955" t="str">
            <v>TEKİRDAĞ</v>
          </cell>
          <cell r="D955" t="str">
            <v>MARMARAEREĞLİSİ</v>
          </cell>
          <cell r="H955" t="str">
            <v>Dağıtım-AG</v>
          </cell>
          <cell r="I955" t="str">
            <v>Uzun</v>
          </cell>
          <cell r="J955" t="str">
            <v>Şebeke İşletmecisi</v>
          </cell>
          <cell r="K955" t="str">
            <v>Bildirimsiz</v>
          </cell>
          <cell r="O955">
            <v>0</v>
          </cell>
          <cell r="P955">
            <v>0</v>
          </cell>
          <cell r="Q955">
            <v>0</v>
          </cell>
          <cell r="R955">
            <v>29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2518.6499999149237</v>
          </cell>
          <cell r="Y955">
            <v>0</v>
          </cell>
          <cell r="Z955">
            <v>0</v>
          </cell>
        </row>
        <row r="956">
          <cell r="C956" t="str">
            <v>KIRKLARELİ</v>
          </cell>
          <cell r="D956" t="str">
            <v>VİZE</v>
          </cell>
          <cell r="H956" t="str">
            <v>Dağıtım-OG</v>
          </cell>
          <cell r="I956" t="str">
            <v>Uzun</v>
          </cell>
          <cell r="J956" t="str">
            <v>Şebeke işletmecisi</v>
          </cell>
          <cell r="K956" t="str">
            <v>Bildirimsiz</v>
          </cell>
          <cell r="O956">
            <v>0</v>
          </cell>
          <cell r="P956">
            <v>10</v>
          </cell>
          <cell r="Q956">
            <v>0</v>
          </cell>
          <cell r="R956">
            <v>0</v>
          </cell>
          <cell r="S956">
            <v>1</v>
          </cell>
          <cell r="T956">
            <v>328</v>
          </cell>
          <cell r="U956">
            <v>0</v>
          </cell>
          <cell r="V956">
            <v>864.83333328505978</v>
          </cell>
          <cell r="W956">
            <v>0</v>
          </cell>
          <cell r="X956">
            <v>0</v>
          </cell>
          <cell r="Y956">
            <v>86.483333328505978</v>
          </cell>
          <cell r="Z956">
            <v>28366.533331749961</v>
          </cell>
        </row>
        <row r="957">
          <cell r="C957" t="str">
            <v>KIRKLARELİ</v>
          </cell>
          <cell r="D957" t="str">
            <v>VİZE</v>
          </cell>
          <cell r="H957" t="str">
            <v>Dağıtım-AG</v>
          </cell>
          <cell r="I957" t="str">
            <v>Uzun</v>
          </cell>
          <cell r="J957" t="str">
            <v>Şebeke işletmecisi</v>
          </cell>
          <cell r="K957" t="str">
            <v>Bildirimsiz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48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4150.4000000841916</v>
          </cell>
        </row>
        <row r="958">
          <cell r="C958" t="str">
            <v>KIRKLARELİ</v>
          </cell>
          <cell r="D958" t="str">
            <v>LÜLEBURGAZ</v>
          </cell>
          <cell r="H958" t="str">
            <v>Dağıtım-AG</v>
          </cell>
          <cell r="I958" t="str">
            <v>Uzun</v>
          </cell>
          <cell r="J958" t="str">
            <v>Şebeke işletmecisi</v>
          </cell>
          <cell r="K958" t="str">
            <v>Bildirimsiz</v>
          </cell>
          <cell r="O958">
            <v>0</v>
          </cell>
          <cell r="P958">
            <v>13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1123.6333333910443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</row>
        <row r="959">
          <cell r="C959" t="str">
            <v>EDİRNE</v>
          </cell>
          <cell r="D959" t="str">
            <v>EDİRNEMERKEZ</v>
          </cell>
          <cell r="H959" t="str">
            <v>Dağıtım-OG</v>
          </cell>
          <cell r="I959" t="str">
            <v>Uzun</v>
          </cell>
          <cell r="J959" t="str">
            <v>Şebeke işletmecisi</v>
          </cell>
          <cell r="K959" t="str">
            <v>Bildirimsiz</v>
          </cell>
          <cell r="O959">
            <v>1</v>
          </cell>
          <cell r="P959">
            <v>19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86.399999996647239</v>
          </cell>
          <cell r="V959">
            <v>1641.5999999362975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</row>
        <row r="960">
          <cell r="C960" t="str">
            <v>KIRKLARELİ</v>
          </cell>
          <cell r="D960" t="str">
            <v>BABAESKİ</v>
          </cell>
          <cell r="H960" t="str">
            <v>Dağıtım-OG</v>
          </cell>
          <cell r="I960" t="str">
            <v>Uzun</v>
          </cell>
          <cell r="J960" t="str">
            <v>Şebeke işletmecisi</v>
          </cell>
          <cell r="K960" t="str">
            <v>Bildirimsiz</v>
          </cell>
          <cell r="O960">
            <v>3</v>
          </cell>
          <cell r="P960">
            <v>1</v>
          </cell>
          <cell r="Q960">
            <v>3</v>
          </cell>
          <cell r="R960">
            <v>18</v>
          </cell>
          <cell r="S960">
            <v>0</v>
          </cell>
          <cell r="T960">
            <v>0</v>
          </cell>
          <cell r="U960">
            <v>258.9499999943655</v>
          </cell>
          <cell r="V960">
            <v>86.316666664788499</v>
          </cell>
          <cell r="W960">
            <v>258.9499999943655</v>
          </cell>
          <cell r="X960">
            <v>1553.699999966193</v>
          </cell>
          <cell r="Y960">
            <v>0</v>
          </cell>
          <cell r="Z960">
            <v>0</v>
          </cell>
        </row>
        <row r="961">
          <cell r="C961" t="str">
            <v>TEKİRDAĞ</v>
          </cell>
          <cell r="D961" t="str">
            <v>ŞARKÖY</v>
          </cell>
          <cell r="H961" t="str">
            <v>Dağıtım-AG</v>
          </cell>
          <cell r="I961" t="str">
            <v>Uzun</v>
          </cell>
          <cell r="J961" t="str">
            <v>Şebeke işletmecisi</v>
          </cell>
          <cell r="K961" t="str">
            <v>Bildirimsiz</v>
          </cell>
          <cell r="O961">
            <v>0</v>
          </cell>
          <cell r="P961">
            <v>0</v>
          </cell>
          <cell r="Q961">
            <v>0</v>
          </cell>
          <cell r="R961">
            <v>1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86.2999999942258</v>
          </cell>
          <cell r="Y961">
            <v>0</v>
          </cell>
          <cell r="Z961">
            <v>0</v>
          </cell>
        </row>
        <row r="962">
          <cell r="C962" t="str">
            <v>TEKİRDAĞ</v>
          </cell>
          <cell r="D962" t="str">
            <v>MALKARA</v>
          </cell>
          <cell r="H962" t="str">
            <v>Dağıtım-OG</v>
          </cell>
          <cell r="I962" t="str">
            <v>Uzun</v>
          </cell>
          <cell r="J962" t="str">
            <v>Şebeke işletmecisi</v>
          </cell>
          <cell r="K962" t="str">
            <v>Bildirimsiz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255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21976.749999588355</v>
          </cell>
        </row>
        <row r="963">
          <cell r="C963" t="str">
            <v>KIRKLARELİ</v>
          </cell>
          <cell r="D963" t="str">
            <v>VİZE</v>
          </cell>
          <cell r="H963" t="str">
            <v>Dağıtım-OG</v>
          </cell>
          <cell r="I963" t="str">
            <v>Uzun</v>
          </cell>
          <cell r="J963" t="str">
            <v>Şebeke işletmecisi</v>
          </cell>
          <cell r="K963" t="str">
            <v>Bildirimsiz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19</v>
          </cell>
          <cell r="T963">
            <v>760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1636.8500000203494</v>
          </cell>
          <cell r="Z963">
            <v>65474.000000813976</v>
          </cell>
        </row>
        <row r="964">
          <cell r="C964" t="str">
            <v>EDİRNE</v>
          </cell>
          <cell r="D964" t="str">
            <v>EDİRNEMERKEZ</v>
          </cell>
          <cell r="H964" t="str">
            <v>Dağıtım-AG</v>
          </cell>
          <cell r="I964" t="str">
            <v>Uzun</v>
          </cell>
          <cell r="J964" t="str">
            <v>Şebeke işletmecisi</v>
          </cell>
          <cell r="K964" t="str">
            <v>Bildirimsiz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9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775.35000000963919</v>
          </cell>
        </row>
        <row r="965">
          <cell r="C965" t="str">
            <v>KIRKLARELİ</v>
          </cell>
          <cell r="D965" t="str">
            <v>KIRKLARELİMERKEZ</v>
          </cell>
          <cell r="H965" t="str">
            <v>Dağıtım-OG</v>
          </cell>
          <cell r="I965" t="str">
            <v>Uzun</v>
          </cell>
          <cell r="J965" t="str">
            <v>Şebeke işletmecisi</v>
          </cell>
          <cell r="K965" t="str">
            <v>Bildirimli</v>
          </cell>
          <cell r="O965">
            <v>0</v>
          </cell>
          <cell r="P965">
            <v>182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15670.199999974575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</row>
        <row r="966">
          <cell r="C966" t="str">
            <v>KIRKLARELİ</v>
          </cell>
          <cell r="D966" t="str">
            <v>LÜLEBURGAZ</v>
          </cell>
          <cell r="H966" t="str">
            <v>Dağıtım-AG</v>
          </cell>
          <cell r="I966" t="str">
            <v>Uzun</v>
          </cell>
          <cell r="J966" t="str">
            <v>Şebeke işletmecisi</v>
          </cell>
          <cell r="K966" t="str">
            <v>Bildirimsiz</v>
          </cell>
          <cell r="O966">
            <v>0</v>
          </cell>
          <cell r="P966">
            <v>28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2409.3999999621883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C967" t="str">
            <v>EDİRNE</v>
          </cell>
          <cell r="D967" t="str">
            <v>MERİÇ</v>
          </cell>
          <cell r="H967" t="str">
            <v>Dağıtım-OG</v>
          </cell>
          <cell r="I967" t="str">
            <v>Uzun</v>
          </cell>
          <cell r="J967" t="str">
            <v>Şebeke işletmecisi</v>
          </cell>
          <cell r="K967" t="str">
            <v>Bildirimsiz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216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18568.800000026822</v>
          </cell>
        </row>
        <row r="968">
          <cell r="C968" t="str">
            <v>TEKİRDAĞ</v>
          </cell>
          <cell r="D968" t="str">
            <v>KAPAKLI</v>
          </cell>
          <cell r="H968" t="str">
            <v>Dağıtım-AG</v>
          </cell>
          <cell r="I968" t="str">
            <v>Uzun</v>
          </cell>
          <cell r="J968" t="str">
            <v>Şebeke işletmecisi</v>
          </cell>
          <cell r="K968" t="str">
            <v>Bildirimsiz</v>
          </cell>
          <cell r="O968">
            <v>0</v>
          </cell>
          <cell r="P968">
            <v>17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1458.3166666526813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69">
          <cell r="C969" t="str">
            <v>KIRKLARELİ</v>
          </cell>
          <cell r="D969" t="str">
            <v>BABAESKİ</v>
          </cell>
          <cell r="H969" t="str">
            <v>Dağıtım-OG</v>
          </cell>
          <cell r="I969" t="str">
            <v>Uzun</v>
          </cell>
          <cell r="J969" t="str">
            <v>Şebeke işletmecisi</v>
          </cell>
          <cell r="K969" t="str">
            <v>Bildirimli</v>
          </cell>
          <cell r="O969">
            <v>37</v>
          </cell>
          <cell r="P969">
            <v>3</v>
          </cell>
          <cell r="Q969">
            <v>0</v>
          </cell>
          <cell r="R969">
            <v>0</v>
          </cell>
          <cell r="S969">
            <v>3</v>
          </cell>
          <cell r="T969">
            <v>0</v>
          </cell>
          <cell r="U969">
            <v>3172.7499996812548</v>
          </cell>
          <cell r="V969">
            <v>257.2499999741558</v>
          </cell>
          <cell r="W969">
            <v>0</v>
          </cell>
          <cell r="X969">
            <v>0</v>
          </cell>
          <cell r="Y969">
            <v>257.2499999741558</v>
          </cell>
          <cell r="Z969">
            <v>0</v>
          </cell>
        </row>
        <row r="970">
          <cell r="C970" t="str">
            <v>KIRKLARELİ</v>
          </cell>
          <cell r="D970" t="str">
            <v>KIRKLARELİMERKEZ</v>
          </cell>
          <cell r="H970" t="str">
            <v>Dağıtım-AG</v>
          </cell>
          <cell r="I970" t="str">
            <v>Uzun</v>
          </cell>
          <cell r="J970" t="str">
            <v>Şebeke işletmecisi</v>
          </cell>
          <cell r="K970" t="str">
            <v>Bildirimsiz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17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1456.8999998329673</v>
          </cell>
        </row>
        <row r="971">
          <cell r="C971" t="str">
            <v>EDİRNE</v>
          </cell>
          <cell r="D971" t="str">
            <v>EDİRNEMERKEZ</v>
          </cell>
          <cell r="H971" t="str">
            <v>Dağıtım-AG</v>
          </cell>
          <cell r="I971" t="str">
            <v>Uzun</v>
          </cell>
          <cell r="J971" t="str">
            <v>Şebeke işletmecisi</v>
          </cell>
          <cell r="K971" t="str">
            <v>Bildirimsiz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1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85.683333340566605</v>
          </cell>
        </row>
        <row r="972">
          <cell r="C972" t="str">
            <v>TEKİRDAĞ</v>
          </cell>
          <cell r="D972" t="str">
            <v>HAYRABOLU</v>
          </cell>
          <cell r="H972" t="str">
            <v>Dağıtım-AG</v>
          </cell>
          <cell r="I972" t="str">
            <v>Uzun</v>
          </cell>
          <cell r="J972" t="str">
            <v>Şebeke işletmecisi</v>
          </cell>
          <cell r="K972" t="str">
            <v>Bildirimsiz</v>
          </cell>
          <cell r="O972">
            <v>0</v>
          </cell>
          <cell r="P972">
            <v>0</v>
          </cell>
          <cell r="Q972">
            <v>0</v>
          </cell>
          <cell r="R972">
            <v>2</v>
          </cell>
          <cell r="S972">
            <v>0</v>
          </cell>
          <cell r="T972">
            <v>179</v>
          </cell>
          <cell r="U972">
            <v>0</v>
          </cell>
          <cell r="V972">
            <v>0</v>
          </cell>
          <cell r="W972">
            <v>0</v>
          </cell>
          <cell r="X972">
            <v>171.36666666017845</v>
          </cell>
          <cell r="Y972">
            <v>0</v>
          </cell>
          <cell r="Z972">
            <v>15337.316666085972</v>
          </cell>
        </row>
        <row r="973">
          <cell r="C973" t="str">
            <v>TEKİRDAĞ</v>
          </cell>
          <cell r="D973" t="str">
            <v>MARMARAEREĞLİSİ</v>
          </cell>
          <cell r="H973" t="str">
            <v>Dağıtım-AG</v>
          </cell>
          <cell r="I973" t="str">
            <v>Uzun</v>
          </cell>
          <cell r="J973" t="str">
            <v>Şebeke İşletmecisi</v>
          </cell>
          <cell r="K973" t="str">
            <v>Bildirimsiz</v>
          </cell>
          <cell r="O973">
            <v>0</v>
          </cell>
          <cell r="P973">
            <v>0</v>
          </cell>
          <cell r="Q973">
            <v>0</v>
          </cell>
          <cell r="R973">
            <v>3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256.90000001806766</v>
          </cell>
          <cell r="Y973">
            <v>0</v>
          </cell>
          <cell r="Z973">
            <v>0</v>
          </cell>
        </row>
        <row r="974">
          <cell r="C974" t="str">
            <v>KIRKLARELİ</v>
          </cell>
          <cell r="D974" t="str">
            <v>LÜLEBURGAZ</v>
          </cell>
          <cell r="H974" t="str">
            <v>Dağıtım-AG</v>
          </cell>
          <cell r="I974" t="str">
            <v>Uzun</v>
          </cell>
          <cell r="J974" t="str">
            <v>Şebeke işletmecisi</v>
          </cell>
          <cell r="K974" t="str">
            <v>Bildirimsiz</v>
          </cell>
          <cell r="O974">
            <v>0</v>
          </cell>
          <cell r="P974">
            <v>13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1112.3666666785721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C975" t="str">
            <v>KIRKLARELİ</v>
          </cell>
          <cell r="D975" t="str">
            <v>PEHLİVANKÖY</v>
          </cell>
          <cell r="H975" t="str">
            <v>Dağıtım-AG</v>
          </cell>
          <cell r="I975" t="str">
            <v>Uzun</v>
          </cell>
          <cell r="J975" t="str">
            <v>Şebeke işletmecisi</v>
          </cell>
          <cell r="K975" t="str">
            <v>Bildirimli</v>
          </cell>
          <cell r="O975">
            <v>0</v>
          </cell>
          <cell r="P975">
            <v>0</v>
          </cell>
          <cell r="Q975">
            <v>0</v>
          </cell>
          <cell r="R975">
            <v>18</v>
          </cell>
          <cell r="S975">
            <v>0</v>
          </cell>
          <cell r="T975">
            <v>1</v>
          </cell>
          <cell r="U975">
            <v>0</v>
          </cell>
          <cell r="V975">
            <v>0</v>
          </cell>
          <cell r="W975">
            <v>0</v>
          </cell>
          <cell r="X975">
            <v>1538.7000000430271</v>
          </cell>
          <cell r="Y975">
            <v>0</v>
          </cell>
          <cell r="Z975">
            <v>85.483333335723728</v>
          </cell>
        </row>
        <row r="976">
          <cell r="C976" t="str">
            <v>EDİRNE</v>
          </cell>
          <cell r="D976" t="str">
            <v>UZUNKÖPRÜ</v>
          </cell>
          <cell r="H976" t="str">
            <v>Dağıtım-AG</v>
          </cell>
          <cell r="I976" t="str">
            <v>Uzun</v>
          </cell>
          <cell r="J976" t="str">
            <v>Şebeke işletmecisi</v>
          </cell>
          <cell r="K976" t="str">
            <v>Bildirimsiz</v>
          </cell>
          <cell r="O976">
            <v>0</v>
          </cell>
          <cell r="P976">
            <v>0</v>
          </cell>
          <cell r="Q976">
            <v>0</v>
          </cell>
          <cell r="R976">
            <v>31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2649.9833330826368</v>
          </cell>
          <cell r="Y976">
            <v>0</v>
          </cell>
          <cell r="Z976">
            <v>0</v>
          </cell>
        </row>
        <row r="977">
          <cell r="C977" t="str">
            <v>TEKİRDAĞ</v>
          </cell>
          <cell r="D977" t="str">
            <v>HAYRABOLU</v>
          </cell>
          <cell r="H977" t="str">
            <v>Dağıtım-OG</v>
          </cell>
          <cell r="I977" t="str">
            <v>Uzun</v>
          </cell>
          <cell r="J977" t="str">
            <v>Şebeke İşletmecisi</v>
          </cell>
          <cell r="K977" t="str">
            <v>Bildirimsiz</v>
          </cell>
          <cell r="O977">
            <v>0</v>
          </cell>
          <cell r="P977">
            <v>0</v>
          </cell>
          <cell r="Q977">
            <v>3</v>
          </cell>
          <cell r="R977">
            <v>1</v>
          </cell>
          <cell r="S977">
            <v>7</v>
          </cell>
          <cell r="T977">
            <v>947</v>
          </cell>
          <cell r="U977">
            <v>0</v>
          </cell>
          <cell r="V977">
            <v>0</v>
          </cell>
          <cell r="W977">
            <v>256.35000001522712</v>
          </cell>
          <cell r="X977">
            <v>85.450000005075708</v>
          </cell>
          <cell r="Y977">
            <v>598.15000003552996</v>
          </cell>
          <cell r="Z977">
            <v>80921.150004806696</v>
          </cell>
        </row>
        <row r="978">
          <cell r="C978" t="str">
            <v>TEKİRDAĞ</v>
          </cell>
          <cell r="D978" t="str">
            <v>ŞARKÖY</v>
          </cell>
          <cell r="H978" t="str">
            <v>Dağıtım-AG</v>
          </cell>
          <cell r="I978" t="str">
            <v>Uzun</v>
          </cell>
          <cell r="J978" t="str">
            <v>Şebeke işletmecisi</v>
          </cell>
          <cell r="K978" t="str">
            <v>Bildirimsiz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1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85.416666663950309</v>
          </cell>
        </row>
        <row r="979">
          <cell r="C979" t="str">
            <v>EDİRNE</v>
          </cell>
          <cell r="D979" t="str">
            <v>İPSALA</v>
          </cell>
          <cell r="H979" t="str">
            <v>Dağıtım-OG</v>
          </cell>
          <cell r="I979" t="str">
            <v>Uzun</v>
          </cell>
          <cell r="J979" t="str">
            <v>Şebeke işletmecisi</v>
          </cell>
          <cell r="K979" t="str">
            <v>Bildirimsiz</v>
          </cell>
          <cell r="O979">
            <v>0</v>
          </cell>
          <cell r="P979">
            <v>0</v>
          </cell>
          <cell r="Q979">
            <v>1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85.39999999338761</v>
          </cell>
          <cell r="X979">
            <v>0</v>
          </cell>
          <cell r="Y979">
            <v>0</v>
          </cell>
          <cell r="Z979">
            <v>0</v>
          </cell>
        </row>
        <row r="980">
          <cell r="C980" t="str">
            <v>TEKİRDAĞ</v>
          </cell>
          <cell r="D980" t="str">
            <v>MARMARAEREĞLİSİ</v>
          </cell>
          <cell r="H980" t="str">
            <v>Dağıtım-AG</v>
          </cell>
          <cell r="I980" t="str">
            <v>Uzun</v>
          </cell>
          <cell r="J980" t="str">
            <v>Şebeke işletmecisi</v>
          </cell>
          <cell r="K980" t="str">
            <v>Bildirimsiz</v>
          </cell>
          <cell r="O980">
            <v>0</v>
          </cell>
          <cell r="P980">
            <v>0</v>
          </cell>
          <cell r="Q980">
            <v>0</v>
          </cell>
          <cell r="R980">
            <v>74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6304.7999999276362</v>
          </cell>
          <cell r="Y980">
            <v>0</v>
          </cell>
          <cell r="Z980">
            <v>0</v>
          </cell>
        </row>
        <row r="981">
          <cell r="C981" t="str">
            <v>EDİRNE</v>
          </cell>
          <cell r="D981" t="str">
            <v>İPSALA</v>
          </cell>
          <cell r="H981" t="str">
            <v>Dağıtım-OG</v>
          </cell>
          <cell r="I981" t="str">
            <v>Uzun</v>
          </cell>
          <cell r="J981" t="str">
            <v>Şebeke işletmecisi</v>
          </cell>
          <cell r="K981" t="str">
            <v>Bildirimsiz</v>
          </cell>
          <cell r="O981">
            <v>0</v>
          </cell>
          <cell r="P981">
            <v>0</v>
          </cell>
          <cell r="Q981">
            <v>1</v>
          </cell>
          <cell r="R981">
            <v>0</v>
          </cell>
          <cell r="S981">
            <v>11</v>
          </cell>
          <cell r="T981">
            <v>0</v>
          </cell>
          <cell r="U981">
            <v>0</v>
          </cell>
          <cell r="V981">
            <v>0</v>
          </cell>
          <cell r="W981">
            <v>85.133333327248693</v>
          </cell>
          <cell r="X981">
            <v>0</v>
          </cell>
          <cell r="Y981">
            <v>936.46666659973562</v>
          </cell>
          <cell r="Z981">
            <v>0</v>
          </cell>
        </row>
        <row r="982">
          <cell r="C982" t="str">
            <v>EDİRNE</v>
          </cell>
          <cell r="D982" t="str">
            <v>İPSALA</v>
          </cell>
          <cell r="H982" t="str">
            <v>Dağıtım-OG</v>
          </cell>
          <cell r="I982" t="str">
            <v>Uzun</v>
          </cell>
          <cell r="J982" t="str">
            <v>Şebeke işletmecisi</v>
          </cell>
          <cell r="K982" t="str">
            <v>Bildirimsiz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6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510.39999999571592</v>
          </cell>
          <cell r="Z982">
            <v>0</v>
          </cell>
        </row>
        <row r="983">
          <cell r="C983" t="str">
            <v>EDİRNE</v>
          </cell>
          <cell r="D983" t="str">
            <v>İPSALA</v>
          </cell>
          <cell r="H983" t="str">
            <v>Dağıtım-OG</v>
          </cell>
          <cell r="I983" t="str">
            <v>Uzun</v>
          </cell>
          <cell r="J983" t="str">
            <v>Şebeke işletmecisi</v>
          </cell>
          <cell r="K983" t="str">
            <v>Bildirimsiz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1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85.066666665952653</v>
          </cell>
          <cell r="Z983">
            <v>0</v>
          </cell>
        </row>
        <row r="984">
          <cell r="C984" t="str">
            <v>KIRKLARELİ</v>
          </cell>
          <cell r="D984" t="str">
            <v>KIRKLARELİMERKEZ</v>
          </cell>
          <cell r="H984" t="str">
            <v>Dağıtım-AG</v>
          </cell>
          <cell r="I984" t="str">
            <v>Uzun</v>
          </cell>
          <cell r="J984" t="str">
            <v>Şebeke işletmecisi</v>
          </cell>
          <cell r="K984" t="str">
            <v>Bildirimsiz</v>
          </cell>
          <cell r="O984">
            <v>0</v>
          </cell>
          <cell r="P984">
            <v>134</v>
          </cell>
          <cell r="Q984">
            <v>0</v>
          </cell>
          <cell r="R984">
            <v>0</v>
          </cell>
          <cell r="S984">
            <v>0</v>
          </cell>
          <cell r="T984">
            <v>1</v>
          </cell>
          <cell r="U984">
            <v>0</v>
          </cell>
          <cell r="V984">
            <v>11387.766666768584</v>
          </cell>
          <cell r="W984">
            <v>0</v>
          </cell>
          <cell r="X984">
            <v>0</v>
          </cell>
          <cell r="Y984">
            <v>0</v>
          </cell>
          <cell r="Z984">
            <v>84.983333334093913</v>
          </cell>
        </row>
        <row r="985">
          <cell r="C985" t="str">
            <v>TEKİRDAĞ</v>
          </cell>
          <cell r="D985" t="str">
            <v>ÇORLU</v>
          </cell>
          <cell r="H985" t="str">
            <v>Dağıtım-AG</v>
          </cell>
          <cell r="I985" t="str">
            <v>Uzun</v>
          </cell>
          <cell r="J985" t="str">
            <v>Şebeke işletmecisi</v>
          </cell>
          <cell r="K985" t="str">
            <v>Bildirimsiz</v>
          </cell>
          <cell r="O985">
            <v>0</v>
          </cell>
          <cell r="P985">
            <v>65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5522.8333331295289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</row>
        <row r="986">
          <cell r="C986" t="str">
            <v>KIRKLARELİ</v>
          </cell>
          <cell r="D986" t="str">
            <v>PINARHİSAR</v>
          </cell>
          <cell r="H986" t="str">
            <v>Dağıtım-OG</v>
          </cell>
          <cell r="I986" t="str">
            <v>Uzun</v>
          </cell>
          <cell r="J986" t="str">
            <v>Şebeke işletmecisi</v>
          </cell>
          <cell r="K986" t="str">
            <v>Bildirimsiz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2</v>
          </cell>
          <cell r="T986">
            <v>316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169.46666667703539</v>
          </cell>
          <cell r="Z986">
            <v>26775.733334971592</v>
          </cell>
        </row>
        <row r="987">
          <cell r="C987" t="str">
            <v>TEKİRDAĞ</v>
          </cell>
          <cell r="D987" t="str">
            <v>ÇORLU</v>
          </cell>
          <cell r="H987" t="str">
            <v>Dağıtım-AG</v>
          </cell>
          <cell r="I987" t="str">
            <v>Uzun</v>
          </cell>
          <cell r="J987" t="str">
            <v>Şebeke işletmecisi</v>
          </cell>
          <cell r="K987" t="str">
            <v>Bildirimsiz</v>
          </cell>
          <cell r="O987">
            <v>0</v>
          </cell>
          <cell r="P987">
            <v>601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50884.66666671331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C988" t="str">
            <v>KIRKLARELİ</v>
          </cell>
          <cell r="D988" t="str">
            <v>LÜLEBURGAZ</v>
          </cell>
          <cell r="H988" t="str">
            <v>Dağıtım-OG</v>
          </cell>
          <cell r="I988" t="str">
            <v>Uzun</v>
          </cell>
          <cell r="J988" t="str">
            <v>Şebeke işletmecisi</v>
          </cell>
          <cell r="K988" t="str">
            <v>Bildirimsiz</v>
          </cell>
          <cell r="O988">
            <v>0</v>
          </cell>
          <cell r="P988">
            <v>46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3878.5666667623445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89">
          <cell r="C989" t="str">
            <v>KIRKLARELİ</v>
          </cell>
          <cell r="D989" t="str">
            <v>LÜLEBURGAZ</v>
          </cell>
          <cell r="H989" t="str">
            <v>Dağıtım-AG</v>
          </cell>
          <cell r="I989" t="str">
            <v>Uzun</v>
          </cell>
          <cell r="J989" t="str">
            <v>Şebeke işletmecisi</v>
          </cell>
          <cell r="K989" t="str">
            <v>Bildirimsiz</v>
          </cell>
          <cell r="O989">
            <v>0</v>
          </cell>
          <cell r="P989">
            <v>1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84.199999995762482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</row>
        <row r="990">
          <cell r="C990" t="str">
            <v>EDİRNE</v>
          </cell>
          <cell r="D990" t="str">
            <v>UZUNKÖPRÜ</v>
          </cell>
          <cell r="H990" t="str">
            <v>Dağıtım-AG</v>
          </cell>
          <cell r="I990" t="str">
            <v>Uzun</v>
          </cell>
          <cell r="J990" t="str">
            <v>Şebeke işletmecisi</v>
          </cell>
          <cell r="K990" t="str">
            <v>Bildirimsiz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135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11362.499999790452</v>
          </cell>
        </row>
        <row r="991">
          <cell r="C991" t="str">
            <v>KIRKLARELİ</v>
          </cell>
          <cell r="D991" t="str">
            <v>BABAESKİ</v>
          </cell>
          <cell r="H991" t="str">
            <v>Dağıtım-OG</v>
          </cell>
          <cell r="I991" t="str">
            <v>Uzun</v>
          </cell>
          <cell r="J991" t="str">
            <v>Şebeke işletmecisi</v>
          </cell>
          <cell r="K991" t="str">
            <v>Bildirimsiz</v>
          </cell>
          <cell r="O991">
            <v>1</v>
          </cell>
          <cell r="P991">
            <v>0</v>
          </cell>
          <cell r="Q991">
            <v>0</v>
          </cell>
          <cell r="R991">
            <v>1</v>
          </cell>
          <cell r="S991">
            <v>17</v>
          </cell>
          <cell r="T991">
            <v>1361</v>
          </cell>
          <cell r="U991">
            <v>83.899999998975545</v>
          </cell>
          <cell r="V991">
            <v>0</v>
          </cell>
          <cell r="W991">
            <v>0</v>
          </cell>
          <cell r="X991">
            <v>83.899999998975545</v>
          </cell>
          <cell r="Y991">
            <v>1426.2999999825843</v>
          </cell>
          <cell r="Z991">
            <v>114187.89999860572</v>
          </cell>
        </row>
        <row r="992">
          <cell r="C992" t="str">
            <v>KIRKLARELİ</v>
          </cell>
          <cell r="D992" t="str">
            <v>BABAESKİ</v>
          </cell>
          <cell r="H992" t="str">
            <v>Dağıtım-OG</v>
          </cell>
          <cell r="I992" t="str">
            <v>Uzun</v>
          </cell>
          <cell r="J992" t="str">
            <v>Şebeke işletmecisi</v>
          </cell>
          <cell r="K992" t="str">
            <v>Bildirimsiz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1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83.866666668327525</v>
          </cell>
          <cell r="Z992">
            <v>0</v>
          </cell>
        </row>
        <row r="993">
          <cell r="C993" t="str">
            <v>TEKİRDAĞ</v>
          </cell>
          <cell r="D993" t="str">
            <v>HAYRABOLU</v>
          </cell>
          <cell r="H993" t="str">
            <v>Dağıtım-OG</v>
          </cell>
          <cell r="I993" t="str">
            <v>Uzun</v>
          </cell>
          <cell r="J993" t="str">
            <v>Şebeke işletmecisi</v>
          </cell>
          <cell r="K993" t="str">
            <v>Bildirimsiz</v>
          </cell>
          <cell r="O993">
            <v>0</v>
          </cell>
          <cell r="P993">
            <v>0</v>
          </cell>
          <cell r="Q993">
            <v>6</v>
          </cell>
          <cell r="R993">
            <v>1</v>
          </cell>
          <cell r="S993">
            <v>7</v>
          </cell>
          <cell r="T993">
            <v>812</v>
          </cell>
          <cell r="U993">
            <v>0</v>
          </cell>
          <cell r="V993">
            <v>0</v>
          </cell>
          <cell r="W993">
            <v>502.60000005830079</v>
          </cell>
          <cell r="X993">
            <v>83.766666676383466</v>
          </cell>
          <cell r="Y993">
            <v>586.36666673468426</v>
          </cell>
          <cell r="Z993">
            <v>68018.533341223374</v>
          </cell>
        </row>
        <row r="994">
          <cell r="C994" t="str">
            <v>EDİRNE</v>
          </cell>
          <cell r="D994" t="str">
            <v>UZUNKÖPRÜ</v>
          </cell>
          <cell r="H994" t="str">
            <v>Dağıtım-OG</v>
          </cell>
          <cell r="I994" t="str">
            <v>Uzun</v>
          </cell>
          <cell r="J994" t="str">
            <v>Şebeke işletmecisi</v>
          </cell>
          <cell r="K994" t="str">
            <v>Bildirimsiz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168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14064.399999668822</v>
          </cell>
        </row>
        <row r="995">
          <cell r="C995" t="str">
            <v>TEKİRDAĞ</v>
          </cell>
          <cell r="D995" t="str">
            <v>SÜLEYMANPAŞA</v>
          </cell>
          <cell r="H995" t="str">
            <v>Dağıtım-AG</v>
          </cell>
          <cell r="I995" t="str">
            <v>Uzun</v>
          </cell>
          <cell r="J995" t="str">
            <v>Şebeke işletmecisi</v>
          </cell>
          <cell r="K995" t="str">
            <v>Bildirimsiz</v>
          </cell>
          <cell r="O995">
            <v>0</v>
          </cell>
          <cell r="P995">
            <v>11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920.3333334135823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</row>
        <row r="996">
          <cell r="C996" t="str">
            <v>TEKİRDAĞ</v>
          </cell>
          <cell r="D996" t="str">
            <v>ÇORLU</v>
          </cell>
          <cell r="H996" t="str">
            <v>Dağıtım-AG</v>
          </cell>
          <cell r="I996" t="str">
            <v>Uzun</v>
          </cell>
          <cell r="J996" t="str">
            <v>Şebeke işletmecisi</v>
          </cell>
          <cell r="K996" t="str">
            <v>Bildirimsiz</v>
          </cell>
          <cell r="O996">
            <v>0</v>
          </cell>
          <cell r="P996">
            <v>27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2258.5500000917818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</row>
        <row r="997">
          <cell r="C997" t="str">
            <v>TEKİRDAĞ</v>
          </cell>
          <cell r="D997" t="str">
            <v>SÜLEYMANPAŞA</v>
          </cell>
          <cell r="H997" t="str">
            <v>Dağıtım-AG</v>
          </cell>
          <cell r="I997" t="str">
            <v>Uzun</v>
          </cell>
          <cell r="J997" t="str">
            <v>Şebeke işletmecisi</v>
          </cell>
          <cell r="K997" t="str">
            <v>Bildirimsiz</v>
          </cell>
          <cell r="O997">
            <v>0</v>
          </cell>
          <cell r="P997">
            <v>46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3844.0666664089076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</row>
        <row r="998">
          <cell r="C998" t="str">
            <v>TEKİRDAĞ</v>
          </cell>
          <cell r="D998" t="str">
            <v>MARMARAEREĞLİSİ</v>
          </cell>
          <cell r="H998" t="str">
            <v>Dağıtım-OG</v>
          </cell>
          <cell r="I998" t="str">
            <v>Uzun</v>
          </cell>
          <cell r="J998" t="str">
            <v>Şebeke işletmecisi</v>
          </cell>
          <cell r="K998" t="str">
            <v>Bildirimli</v>
          </cell>
          <cell r="O998">
            <v>0</v>
          </cell>
          <cell r="P998">
            <v>0</v>
          </cell>
          <cell r="Q998">
            <v>4</v>
          </cell>
          <cell r="R998">
            <v>15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334.13333332166076</v>
          </cell>
          <cell r="X998">
            <v>1252.9999999562278</v>
          </cell>
          <cell r="Y998">
            <v>0</v>
          </cell>
          <cell r="Z998">
            <v>0</v>
          </cell>
        </row>
        <row r="999">
          <cell r="C999" t="str">
            <v>EDİRNE</v>
          </cell>
          <cell r="D999" t="str">
            <v>UZUNKÖPRÜ</v>
          </cell>
          <cell r="H999" t="str">
            <v>Dağıtım-OG</v>
          </cell>
          <cell r="I999" t="str">
            <v>Uzun</v>
          </cell>
          <cell r="J999" t="str">
            <v>Şebeke işletmecisi</v>
          </cell>
          <cell r="K999" t="str">
            <v>Bildirimsiz</v>
          </cell>
          <cell r="O999">
            <v>1</v>
          </cell>
          <cell r="P999">
            <v>1</v>
          </cell>
          <cell r="Q999">
            <v>0</v>
          </cell>
          <cell r="R999">
            <v>0</v>
          </cell>
          <cell r="S999">
            <v>0</v>
          </cell>
          <cell r="T999">
            <v>146</v>
          </cell>
          <cell r="U999">
            <v>83.38333333726041</v>
          </cell>
          <cell r="V999">
            <v>83.38333333726041</v>
          </cell>
          <cell r="W999">
            <v>0</v>
          </cell>
          <cell r="X999">
            <v>0</v>
          </cell>
          <cell r="Y999">
            <v>0</v>
          </cell>
          <cell r="Z999">
            <v>12173.96666724002</v>
          </cell>
        </row>
        <row r="1000">
          <cell r="C1000" t="str">
            <v>KIRKLARELİ</v>
          </cell>
          <cell r="D1000" t="str">
            <v>BABAESKİ</v>
          </cell>
          <cell r="H1000" t="str">
            <v>Dağıtım-AG</v>
          </cell>
          <cell r="I1000" t="str">
            <v>Uzun</v>
          </cell>
          <cell r="J1000" t="str">
            <v>Şebeke işletmecisi</v>
          </cell>
          <cell r="K1000" t="str">
            <v>Bildirimsiz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29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2416.666666745441</v>
          </cell>
        </row>
        <row r="1001">
          <cell r="C1001" t="str">
            <v>TEKİRDAĞ</v>
          </cell>
          <cell r="D1001" t="str">
            <v>SÜLEYMANPAŞA</v>
          </cell>
          <cell r="H1001" t="str">
            <v>Dağıtım-OG</v>
          </cell>
          <cell r="I1001" t="str">
            <v>Uzun</v>
          </cell>
          <cell r="J1001" t="str">
            <v>Şebeke işletmecisi</v>
          </cell>
          <cell r="K1001" t="str">
            <v>Bildirimsiz</v>
          </cell>
          <cell r="O1001">
            <v>0</v>
          </cell>
          <cell r="P1001">
            <v>82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6826.499999484513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</row>
        <row r="1002">
          <cell r="C1002" t="str">
            <v>TEKİRDAĞ</v>
          </cell>
          <cell r="D1002" t="str">
            <v>HAYRABOLU</v>
          </cell>
          <cell r="H1002" t="str">
            <v>Dağıtım-AG</v>
          </cell>
          <cell r="I1002" t="str">
            <v>Uzun</v>
          </cell>
          <cell r="J1002" t="str">
            <v>Şebeke işletmecisi</v>
          </cell>
          <cell r="K1002" t="str">
            <v>Bildirimsiz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1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83.200000002980232</v>
          </cell>
        </row>
        <row r="1003">
          <cell r="C1003" t="str">
            <v>TEKİRDAĞ</v>
          </cell>
          <cell r="D1003" t="str">
            <v>KAPAKLI</v>
          </cell>
          <cell r="H1003" t="str">
            <v>Dağıtım-AG</v>
          </cell>
          <cell r="I1003" t="str">
            <v>Uzun</v>
          </cell>
          <cell r="J1003" t="str">
            <v>Dışsal</v>
          </cell>
          <cell r="K1003" t="str">
            <v>Bildirimsiz</v>
          </cell>
          <cell r="O1003">
            <v>0</v>
          </cell>
          <cell r="P1003">
            <v>2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166.20000000111759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C1004" t="str">
            <v>EDİRNE</v>
          </cell>
          <cell r="D1004" t="str">
            <v>EDİRNEMERKEZ</v>
          </cell>
          <cell r="H1004" t="str">
            <v>Dağıtım-AG</v>
          </cell>
          <cell r="I1004" t="str">
            <v>Uzun</v>
          </cell>
          <cell r="J1004" t="str">
            <v>Şebeke işletmecisi</v>
          </cell>
          <cell r="K1004" t="str">
            <v>Bildirimsiz</v>
          </cell>
          <cell r="O1004">
            <v>0</v>
          </cell>
          <cell r="P1004">
            <v>4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332.13333335705101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5">
          <cell r="C1005" t="str">
            <v>TEKİRDAĞ</v>
          </cell>
          <cell r="D1005" t="str">
            <v>ÇORLU</v>
          </cell>
          <cell r="H1005" t="str">
            <v>Dağıtım-AG</v>
          </cell>
          <cell r="I1005" t="str">
            <v>Uzun</v>
          </cell>
          <cell r="J1005" t="str">
            <v>Şebeke işletmecisi</v>
          </cell>
          <cell r="K1005" t="str">
            <v>Bildirimsiz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11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913.18333324044943</v>
          </cell>
        </row>
        <row r="1006">
          <cell r="C1006" t="str">
            <v>EDİRNE</v>
          </cell>
          <cell r="D1006" t="str">
            <v>LALAPAŞA</v>
          </cell>
          <cell r="H1006" t="str">
            <v>Dağıtım-OG</v>
          </cell>
          <cell r="I1006" t="str">
            <v>Uzun</v>
          </cell>
          <cell r="J1006" t="str">
            <v>Şebeke işletmecisi</v>
          </cell>
          <cell r="K1006" t="str">
            <v>Bildirimsiz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8</v>
          </cell>
          <cell r="T1006">
            <v>99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664.00000006891787</v>
          </cell>
          <cell r="Z1006">
            <v>8217.0000008528586</v>
          </cell>
        </row>
        <row r="1007">
          <cell r="C1007" t="str">
            <v>EDİRNE</v>
          </cell>
          <cell r="D1007" t="str">
            <v>EDİRNEMERKEZ</v>
          </cell>
          <cell r="H1007" t="str">
            <v>Dağıtım-AG</v>
          </cell>
          <cell r="I1007" t="str">
            <v>Uzun</v>
          </cell>
          <cell r="J1007" t="str">
            <v>Şebeke işletmecisi</v>
          </cell>
          <cell r="K1007" t="str">
            <v>Bildirimsiz</v>
          </cell>
          <cell r="O1007">
            <v>0</v>
          </cell>
          <cell r="P1007">
            <v>0</v>
          </cell>
          <cell r="Q1007">
            <v>0</v>
          </cell>
          <cell r="R1007">
            <v>21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1742.9999999608845</v>
          </cell>
          <cell r="Y1007">
            <v>0</v>
          </cell>
          <cell r="Z1007">
            <v>0</v>
          </cell>
        </row>
        <row r="1008">
          <cell r="C1008" t="str">
            <v>KIRKLARELİ</v>
          </cell>
          <cell r="D1008" t="str">
            <v>DEMİRKÖY</v>
          </cell>
          <cell r="H1008" t="str">
            <v>Dağıtım-AG</v>
          </cell>
          <cell r="I1008" t="str">
            <v>Uzun</v>
          </cell>
          <cell r="J1008" t="str">
            <v>Şebeke işletmecisi</v>
          </cell>
          <cell r="K1008" t="str">
            <v>Bildirimsiz</v>
          </cell>
          <cell r="O1008">
            <v>0</v>
          </cell>
          <cell r="P1008">
            <v>0</v>
          </cell>
          <cell r="Q1008">
            <v>0</v>
          </cell>
          <cell r="R1008">
            <v>6</v>
          </cell>
          <cell r="S1008">
            <v>0</v>
          </cell>
          <cell r="T1008">
            <v>1</v>
          </cell>
          <cell r="U1008">
            <v>0</v>
          </cell>
          <cell r="V1008">
            <v>0</v>
          </cell>
          <cell r="W1008">
            <v>0</v>
          </cell>
          <cell r="X1008">
            <v>497.99999998882413</v>
          </cell>
          <cell r="Y1008">
            <v>0</v>
          </cell>
          <cell r="Z1008">
            <v>82.999999998137355</v>
          </cell>
        </row>
        <row r="1009">
          <cell r="C1009" t="str">
            <v>TEKİRDAĞ</v>
          </cell>
          <cell r="D1009" t="str">
            <v>MALKARA</v>
          </cell>
          <cell r="H1009" t="str">
            <v>Dağıtım-OG</v>
          </cell>
          <cell r="I1009" t="str">
            <v>Uzun</v>
          </cell>
          <cell r="J1009" t="str">
            <v>Şebeke işletmecisi</v>
          </cell>
          <cell r="K1009" t="str">
            <v>Bildirimsiz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29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2405.5500002147164</v>
          </cell>
        </row>
        <row r="1010">
          <cell r="C1010" t="str">
            <v>KIRKLARELİ</v>
          </cell>
          <cell r="D1010" t="str">
            <v>KIRKLARELİMERKEZ</v>
          </cell>
          <cell r="H1010" t="str">
            <v>Dağıtım-OG</v>
          </cell>
          <cell r="I1010" t="str">
            <v>Uzun</v>
          </cell>
          <cell r="J1010" t="str">
            <v>Şebeke işletmecisi</v>
          </cell>
          <cell r="K1010" t="str">
            <v>Bildirimsiz</v>
          </cell>
          <cell r="O1010">
            <v>0</v>
          </cell>
          <cell r="P1010">
            <v>0</v>
          </cell>
          <cell r="Q1010">
            <v>5</v>
          </cell>
          <cell r="R1010">
            <v>0</v>
          </cell>
          <cell r="S1010">
            <v>2</v>
          </cell>
          <cell r="T1010">
            <v>139</v>
          </cell>
          <cell r="U1010">
            <v>0</v>
          </cell>
          <cell r="V1010">
            <v>0</v>
          </cell>
          <cell r="W1010">
            <v>414.74999998463318</v>
          </cell>
          <cell r="X1010">
            <v>0</v>
          </cell>
          <cell r="Y1010">
            <v>165.89999999385327</v>
          </cell>
          <cell r="Z1010">
            <v>11530.049999572802</v>
          </cell>
        </row>
        <row r="1011">
          <cell r="C1011" t="str">
            <v>TEKİRDAĞ</v>
          </cell>
          <cell r="D1011" t="str">
            <v>MARMARAEREĞLİSİ</v>
          </cell>
          <cell r="H1011" t="str">
            <v>Dağıtım-AG</v>
          </cell>
          <cell r="I1011" t="str">
            <v>Uzun</v>
          </cell>
          <cell r="J1011" t="str">
            <v>Şebeke işletmecisi</v>
          </cell>
          <cell r="K1011" t="str">
            <v>Bildirimsiz</v>
          </cell>
          <cell r="O1011">
            <v>0</v>
          </cell>
          <cell r="P1011">
            <v>2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165.73333335109055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</row>
        <row r="1012">
          <cell r="C1012" t="str">
            <v>KIRKLARELİ</v>
          </cell>
          <cell r="D1012" t="str">
            <v>LÜLEBURGAZ</v>
          </cell>
          <cell r="H1012" t="str">
            <v>Dağıtım-OG</v>
          </cell>
          <cell r="I1012" t="str">
            <v>Uzun</v>
          </cell>
          <cell r="J1012" t="str">
            <v>Şebeke işletmecisi</v>
          </cell>
          <cell r="K1012" t="str">
            <v>Bildirimsiz</v>
          </cell>
          <cell r="O1012">
            <v>1</v>
          </cell>
          <cell r="P1012">
            <v>0</v>
          </cell>
          <cell r="Q1012">
            <v>0</v>
          </cell>
          <cell r="R1012">
            <v>0</v>
          </cell>
          <cell r="S1012">
            <v>10</v>
          </cell>
          <cell r="T1012">
            <v>307</v>
          </cell>
          <cell r="U1012">
            <v>82.666666670702398</v>
          </cell>
          <cell r="V1012">
            <v>0</v>
          </cell>
          <cell r="W1012">
            <v>0</v>
          </cell>
          <cell r="X1012">
            <v>0</v>
          </cell>
          <cell r="Y1012">
            <v>826.66666670702398</v>
          </cell>
          <cell r="Z1012">
            <v>25378.666667905636</v>
          </cell>
        </row>
        <row r="1013">
          <cell r="C1013" t="str">
            <v>KIRKLARELİ</v>
          </cell>
          <cell r="D1013" t="str">
            <v>BABAESKİ</v>
          </cell>
          <cell r="H1013" t="str">
            <v>Dağıtım-OG</v>
          </cell>
          <cell r="I1013" t="str">
            <v>Uzun</v>
          </cell>
          <cell r="J1013" t="str">
            <v>Şebeke işletmecisi</v>
          </cell>
          <cell r="K1013" t="str">
            <v>Bildirimli</v>
          </cell>
          <cell r="O1013">
            <v>0</v>
          </cell>
          <cell r="P1013">
            <v>1</v>
          </cell>
          <cell r="Q1013">
            <v>2</v>
          </cell>
          <cell r="R1013">
            <v>561</v>
          </cell>
          <cell r="S1013">
            <v>0</v>
          </cell>
          <cell r="T1013">
            <v>0</v>
          </cell>
          <cell r="U1013">
            <v>0</v>
          </cell>
          <cell r="V1013">
            <v>82.599999998928979</v>
          </cell>
          <cell r="W1013">
            <v>165.19999999785796</v>
          </cell>
          <cell r="X1013">
            <v>46338.599999399157</v>
          </cell>
          <cell r="Y1013">
            <v>0</v>
          </cell>
          <cell r="Z1013">
            <v>0</v>
          </cell>
        </row>
        <row r="1014">
          <cell r="C1014" t="str">
            <v>TEKİRDAĞ</v>
          </cell>
          <cell r="D1014" t="str">
            <v>HAYRABOLU</v>
          </cell>
          <cell r="H1014" t="str">
            <v>Dağıtım-OG</v>
          </cell>
          <cell r="I1014" t="str">
            <v>Uzun</v>
          </cell>
          <cell r="J1014" t="str">
            <v>Şebeke işletmecisi</v>
          </cell>
          <cell r="K1014" t="str">
            <v>Bildirimli</v>
          </cell>
          <cell r="O1014">
            <v>0</v>
          </cell>
          <cell r="P1014">
            <v>0</v>
          </cell>
          <cell r="Q1014">
            <v>0</v>
          </cell>
          <cell r="R1014">
            <v>18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1486.499999910593</v>
          </cell>
          <cell r="Y1014">
            <v>0</v>
          </cell>
          <cell r="Z1014">
            <v>0</v>
          </cell>
        </row>
        <row r="1015">
          <cell r="C1015" t="str">
            <v>TEKİRDAĞ</v>
          </cell>
          <cell r="D1015" t="str">
            <v>ERGENE</v>
          </cell>
          <cell r="H1015" t="str">
            <v>Dağıtım-AG</v>
          </cell>
          <cell r="I1015" t="str">
            <v>Uzun</v>
          </cell>
          <cell r="J1015" t="str">
            <v>Şebeke işletmecisi</v>
          </cell>
          <cell r="K1015" t="str">
            <v>Bildirimsiz</v>
          </cell>
          <cell r="O1015">
            <v>0</v>
          </cell>
          <cell r="P1015">
            <v>66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5440.600000123959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</row>
        <row r="1016">
          <cell r="C1016" t="str">
            <v>EDİRNE</v>
          </cell>
          <cell r="D1016" t="str">
            <v>İPSALA</v>
          </cell>
          <cell r="H1016" t="str">
            <v>Dağıtım-OG</v>
          </cell>
          <cell r="I1016" t="str">
            <v>Uzun</v>
          </cell>
          <cell r="J1016" t="str">
            <v>Şebeke İşletmecisi</v>
          </cell>
          <cell r="K1016" t="str">
            <v>Bildirimsiz</v>
          </cell>
          <cell r="O1016">
            <v>0</v>
          </cell>
          <cell r="P1016">
            <v>0</v>
          </cell>
          <cell r="Q1016">
            <v>8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658.66666666232049</v>
          </cell>
          <cell r="X1016">
            <v>0</v>
          </cell>
          <cell r="Y1016">
            <v>0</v>
          </cell>
          <cell r="Z1016">
            <v>0</v>
          </cell>
        </row>
        <row r="1017">
          <cell r="C1017" t="str">
            <v>EDİRNE</v>
          </cell>
          <cell r="D1017" t="str">
            <v>UZUNKÖPRÜ</v>
          </cell>
          <cell r="H1017" t="str">
            <v>Dağıtım-AG</v>
          </cell>
          <cell r="I1017" t="str">
            <v>Uzun</v>
          </cell>
          <cell r="J1017" t="str">
            <v>Şebeke işletmecisi</v>
          </cell>
          <cell r="K1017" t="str">
            <v>Bildirimsiz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135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11112.75000081514</v>
          </cell>
        </row>
        <row r="1018">
          <cell r="C1018" t="str">
            <v>TEKİRDAĞ</v>
          </cell>
          <cell r="D1018" t="str">
            <v>ÇORLU</v>
          </cell>
          <cell r="H1018" t="str">
            <v>Dağıtım-AG</v>
          </cell>
          <cell r="I1018" t="str">
            <v>Uzun</v>
          </cell>
          <cell r="J1018" t="str">
            <v>Şebeke işletmecisi</v>
          </cell>
          <cell r="K1018" t="str">
            <v>Bildirimsiz</v>
          </cell>
          <cell r="O1018">
            <v>0</v>
          </cell>
          <cell r="P1018">
            <v>83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6832.2833329648711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C1019" t="str">
            <v>TEKİRDAĞ</v>
          </cell>
          <cell r="D1019" t="str">
            <v>ÇORLU</v>
          </cell>
          <cell r="H1019" t="str">
            <v>Dağıtım-OG</v>
          </cell>
          <cell r="I1019" t="str">
            <v>Uzun</v>
          </cell>
          <cell r="J1019" t="str">
            <v>Dışsal</v>
          </cell>
          <cell r="K1019" t="str">
            <v>Bildirimsiz</v>
          </cell>
          <cell r="O1019">
            <v>3</v>
          </cell>
          <cell r="P1019">
            <v>0</v>
          </cell>
          <cell r="Q1019">
            <v>0</v>
          </cell>
          <cell r="R1019">
            <v>0</v>
          </cell>
          <cell r="S1019">
            <v>7</v>
          </cell>
          <cell r="T1019">
            <v>0</v>
          </cell>
          <cell r="U1019">
            <v>246.85000002617016</v>
          </cell>
          <cell r="V1019">
            <v>0</v>
          </cell>
          <cell r="W1019">
            <v>0</v>
          </cell>
          <cell r="X1019">
            <v>0</v>
          </cell>
          <cell r="Y1019">
            <v>575.98333339439705</v>
          </cell>
          <cell r="Z1019">
            <v>0</v>
          </cell>
        </row>
        <row r="1020">
          <cell r="C1020" t="str">
            <v>TEKİRDAĞ</v>
          </cell>
          <cell r="D1020" t="str">
            <v>SÜLEYMANPAŞA</v>
          </cell>
          <cell r="H1020" t="str">
            <v>Dağıtım-AG</v>
          </cell>
          <cell r="I1020" t="str">
            <v>Uzun</v>
          </cell>
          <cell r="J1020" t="str">
            <v>Şebeke işletmecisi</v>
          </cell>
          <cell r="K1020" t="str">
            <v>Bildirimsiz</v>
          </cell>
          <cell r="O1020">
            <v>0</v>
          </cell>
          <cell r="P1020">
            <v>28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2302.5333335436881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</row>
        <row r="1021">
          <cell r="C1021" t="str">
            <v>TEKİRDAĞ</v>
          </cell>
          <cell r="D1021" t="str">
            <v>MALKARA</v>
          </cell>
          <cell r="H1021" t="str">
            <v>Dağıtım-AG</v>
          </cell>
          <cell r="I1021" t="str">
            <v>Uzun</v>
          </cell>
          <cell r="J1021" t="str">
            <v>Şebeke işletmecisi</v>
          </cell>
          <cell r="K1021" t="str">
            <v>Bildirimsiz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3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246.55000001890585</v>
          </cell>
        </row>
        <row r="1022">
          <cell r="C1022" t="str">
            <v>EDİRNE</v>
          </cell>
          <cell r="D1022" t="str">
            <v>EDİRNEMERKEZ</v>
          </cell>
          <cell r="H1022" t="str">
            <v>Dağıtım-OG</v>
          </cell>
          <cell r="I1022" t="str">
            <v>Uzun</v>
          </cell>
          <cell r="J1022" t="str">
            <v>Şebeke işletmecisi</v>
          </cell>
          <cell r="K1022" t="str">
            <v>Bildirimsiz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4</v>
          </cell>
          <cell r="T1022">
            <v>307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327.9999999795109</v>
          </cell>
          <cell r="Z1022">
            <v>25173.999998427462</v>
          </cell>
        </row>
        <row r="1023">
          <cell r="C1023" t="str">
            <v>TEKİRDAĞ</v>
          </cell>
          <cell r="D1023" t="str">
            <v>MARMARAEREĞLİSİ</v>
          </cell>
          <cell r="H1023" t="str">
            <v>Dağıtım-AG</v>
          </cell>
          <cell r="I1023" t="str">
            <v>Uzun</v>
          </cell>
          <cell r="J1023" t="str">
            <v>Şebeke işletmecisi</v>
          </cell>
          <cell r="K1023" t="str">
            <v>Bildirimsiz</v>
          </cell>
          <cell r="O1023">
            <v>0</v>
          </cell>
          <cell r="P1023">
            <v>2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163.90000000828877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C1024" t="str">
            <v>TEKİRDAĞ</v>
          </cell>
          <cell r="D1024" t="str">
            <v>MALKARA</v>
          </cell>
          <cell r="H1024" t="str">
            <v>Dağıtım-AG</v>
          </cell>
          <cell r="I1024" t="str">
            <v>Uzun</v>
          </cell>
          <cell r="J1024" t="str">
            <v>Şebeke işletmecisi</v>
          </cell>
          <cell r="K1024" t="str">
            <v>Bildirimsiz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35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2866.5000001026783</v>
          </cell>
        </row>
        <row r="1025">
          <cell r="C1025" t="str">
            <v>TEKİRDAĞ</v>
          </cell>
          <cell r="D1025" t="str">
            <v>SARAY</v>
          </cell>
          <cell r="H1025" t="str">
            <v>Dağıtım-OG</v>
          </cell>
          <cell r="I1025" t="str">
            <v>Uzun</v>
          </cell>
          <cell r="J1025" t="str">
            <v>Şebeke işletmecisi</v>
          </cell>
          <cell r="K1025" t="str">
            <v>Bildirimsiz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1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81.649999996880069</v>
          </cell>
          <cell r="Z1025">
            <v>0</v>
          </cell>
        </row>
        <row r="1026">
          <cell r="C1026" t="str">
            <v>TEKİRDAĞ</v>
          </cell>
          <cell r="D1026" t="str">
            <v>SÜLEYMANPAŞA</v>
          </cell>
          <cell r="H1026" t="str">
            <v>Dağıtım-AG</v>
          </cell>
          <cell r="I1026" t="str">
            <v>Uzun</v>
          </cell>
          <cell r="J1026" t="str">
            <v>Şebeke işletmecisi</v>
          </cell>
          <cell r="K1026" t="str">
            <v>Bildirimsiz</v>
          </cell>
          <cell r="O1026">
            <v>0</v>
          </cell>
          <cell r="P1026">
            <v>26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2119.8666666937061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</row>
        <row r="1027">
          <cell r="C1027" t="str">
            <v>KIRKLARELİ</v>
          </cell>
          <cell r="D1027" t="str">
            <v>DEMİRKÖY</v>
          </cell>
          <cell r="H1027" t="str">
            <v>Dağıtım-AG</v>
          </cell>
          <cell r="I1027" t="str">
            <v>Uzun</v>
          </cell>
          <cell r="J1027" t="str">
            <v>Şebeke işletmecisi</v>
          </cell>
          <cell r="K1027" t="str">
            <v>Bildirimsiz</v>
          </cell>
          <cell r="O1027">
            <v>0</v>
          </cell>
          <cell r="P1027">
            <v>0</v>
          </cell>
          <cell r="Q1027">
            <v>0</v>
          </cell>
          <cell r="R1027">
            <v>2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163.03333334857598</v>
          </cell>
          <cell r="Y1027">
            <v>0</v>
          </cell>
          <cell r="Z1027">
            <v>0</v>
          </cell>
        </row>
        <row r="1028">
          <cell r="C1028" t="str">
            <v>TEKİRDAĞ</v>
          </cell>
          <cell r="D1028" t="str">
            <v>MARMARAEREĞLİSİ</v>
          </cell>
          <cell r="H1028" t="str">
            <v>Dağıtım-AG</v>
          </cell>
          <cell r="I1028" t="str">
            <v>Uzun</v>
          </cell>
          <cell r="J1028" t="str">
            <v>Şebeke işletmecisi</v>
          </cell>
          <cell r="K1028" t="str">
            <v>Bildirimsiz</v>
          </cell>
          <cell r="O1028">
            <v>0</v>
          </cell>
          <cell r="P1028">
            <v>5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406.41666664159857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C1029" t="str">
            <v>KIRKLARELİ</v>
          </cell>
          <cell r="D1029" t="str">
            <v>DEMİRKÖY</v>
          </cell>
          <cell r="H1029" t="str">
            <v>Dağıtım-AG</v>
          </cell>
          <cell r="I1029" t="str">
            <v>Uzun</v>
          </cell>
          <cell r="J1029" t="str">
            <v>Şebeke işletmecisi</v>
          </cell>
          <cell r="K1029" t="str">
            <v>Bildirimsiz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1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81.283333328319713</v>
          </cell>
        </row>
        <row r="1030">
          <cell r="C1030" t="str">
            <v>TEKİRDAĞ</v>
          </cell>
          <cell r="D1030" t="str">
            <v>MARMARAEREĞLİSİ</v>
          </cell>
          <cell r="H1030" t="str">
            <v>Dağıtım-AG</v>
          </cell>
          <cell r="I1030" t="str">
            <v>Uzun</v>
          </cell>
          <cell r="J1030" t="str">
            <v>Şebeke İşletmecisi</v>
          </cell>
          <cell r="K1030" t="str">
            <v>Bildirimsiz</v>
          </cell>
          <cell r="O1030">
            <v>0</v>
          </cell>
          <cell r="P1030">
            <v>0</v>
          </cell>
          <cell r="Q1030">
            <v>0</v>
          </cell>
          <cell r="R1030">
            <v>156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12677.600000244565</v>
          </cell>
          <cell r="Y1030">
            <v>0</v>
          </cell>
          <cell r="Z1030">
            <v>0</v>
          </cell>
        </row>
        <row r="1031">
          <cell r="C1031" t="str">
            <v>KIRKLARELİ</v>
          </cell>
          <cell r="D1031" t="str">
            <v>BABAESKİ</v>
          </cell>
          <cell r="H1031" t="str">
            <v>Dağıtım-OG</v>
          </cell>
          <cell r="I1031" t="str">
            <v>Uzun</v>
          </cell>
          <cell r="J1031" t="str">
            <v>Şebeke işletmecisi</v>
          </cell>
          <cell r="K1031" t="str">
            <v>Bildirimli</v>
          </cell>
          <cell r="O1031">
            <v>0</v>
          </cell>
          <cell r="P1031">
            <v>0</v>
          </cell>
          <cell r="Q1031">
            <v>3</v>
          </cell>
          <cell r="R1031">
            <v>741</v>
          </cell>
          <cell r="S1031">
            <v>3</v>
          </cell>
          <cell r="T1031">
            <v>458</v>
          </cell>
          <cell r="U1031">
            <v>0</v>
          </cell>
          <cell r="V1031">
            <v>0</v>
          </cell>
          <cell r="W1031">
            <v>243.69999998132698</v>
          </cell>
          <cell r="X1031">
            <v>60193.899995387765</v>
          </cell>
          <cell r="Y1031">
            <v>243.69999998132698</v>
          </cell>
          <cell r="Z1031">
            <v>37204.866663815919</v>
          </cell>
        </row>
        <row r="1032">
          <cell r="C1032" t="str">
            <v>TEKİRDAĞ</v>
          </cell>
          <cell r="D1032" t="str">
            <v>ERGENE</v>
          </cell>
          <cell r="H1032" t="str">
            <v>Dağıtım-AG</v>
          </cell>
          <cell r="I1032" t="str">
            <v>Uzun</v>
          </cell>
          <cell r="J1032" t="str">
            <v>Şebeke işletmecisi</v>
          </cell>
          <cell r="K1032" t="str">
            <v>Bildirimsiz</v>
          </cell>
          <cell r="O1032">
            <v>0</v>
          </cell>
          <cell r="P1032">
            <v>101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8192.7833331248257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C1033" t="str">
            <v>TEKİRDAĞ</v>
          </cell>
          <cell r="D1033" t="str">
            <v>MARMARAEREĞLİSİ</v>
          </cell>
          <cell r="H1033" t="str">
            <v>Dağıtım-AG</v>
          </cell>
          <cell r="I1033" t="str">
            <v>Uzun</v>
          </cell>
          <cell r="J1033" t="str">
            <v>Şebeke işletmecisi</v>
          </cell>
          <cell r="K1033" t="str">
            <v>Bildirimsiz</v>
          </cell>
          <cell r="O1033">
            <v>0</v>
          </cell>
          <cell r="P1033">
            <v>0</v>
          </cell>
          <cell r="Q1033">
            <v>0</v>
          </cell>
          <cell r="R1033">
            <v>16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1297.6000000722706</v>
          </cell>
          <cell r="Y1033">
            <v>0</v>
          </cell>
          <cell r="Z1033">
            <v>0</v>
          </cell>
        </row>
        <row r="1034">
          <cell r="C1034" t="str">
            <v>TEKİRDAĞ</v>
          </cell>
          <cell r="D1034" t="str">
            <v>ERGENE</v>
          </cell>
          <cell r="H1034" t="str">
            <v>Dağıtım-OG</v>
          </cell>
          <cell r="I1034" t="str">
            <v>Uzun</v>
          </cell>
          <cell r="J1034" t="str">
            <v>Şebeke işletmecisi</v>
          </cell>
          <cell r="K1034" t="str">
            <v>Bildirimsiz</v>
          </cell>
          <cell r="O1034">
            <v>0</v>
          </cell>
          <cell r="P1034">
            <v>199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16138.899998813868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5">
          <cell r="C1035" t="str">
            <v>EDİRNE</v>
          </cell>
          <cell r="D1035" t="str">
            <v>UZUNKÖPRÜ</v>
          </cell>
          <cell r="H1035" t="str">
            <v>Dağıtım-AG</v>
          </cell>
          <cell r="I1035" t="str">
            <v>Uzun</v>
          </cell>
          <cell r="J1035" t="str">
            <v>Şebeke işletmecisi</v>
          </cell>
          <cell r="K1035" t="str">
            <v>Bildirimsiz</v>
          </cell>
          <cell r="O1035">
            <v>0</v>
          </cell>
          <cell r="P1035">
            <v>1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81.083333323476836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</row>
        <row r="1036">
          <cell r="C1036" t="str">
            <v>TEKİRDAĞ</v>
          </cell>
          <cell r="D1036" t="str">
            <v>MARMARAEREĞLİSİ</v>
          </cell>
          <cell r="H1036" t="str">
            <v>Dağıtım-AG</v>
          </cell>
          <cell r="I1036" t="str">
            <v>Uzun</v>
          </cell>
          <cell r="J1036" t="str">
            <v>Şebeke işletmecisi</v>
          </cell>
          <cell r="K1036" t="str">
            <v>Bildirimsiz</v>
          </cell>
          <cell r="O1036">
            <v>0</v>
          </cell>
          <cell r="P1036">
            <v>118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9565.8666662801988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</row>
        <row r="1037">
          <cell r="C1037" t="str">
            <v>KIRKLARELİ</v>
          </cell>
          <cell r="D1037" t="str">
            <v>PINARHİSAR</v>
          </cell>
          <cell r="H1037" t="str">
            <v>Dağıtım-AG</v>
          </cell>
          <cell r="I1037" t="str">
            <v>Uzun</v>
          </cell>
          <cell r="J1037" t="str">
            <v>Şebeke işletmecisi</v>
          </cell>
          <cell r="K1037" t="str">
            <v>Bildirimsiz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31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2513.066666565137</v>
          </cell>
        </row>
        <row r="1038">
          <cell r="C1038" t="str">
            <v>KIRKLARELİ</v>
          </cell>
          <cell r="D1038" t="str">
            <v>VİZE</v>
          </cell>
          <cell r="H1038" t="str">
            <v>Dağıtım-AG</v>
          </cell>
          <cell r="I1038" t="str">
            <v>Uzun</v>
          </cell>
          <cell r="J1038" t="str">
            <v>Şebeke işletmecisi</v>
          </cell>
          <cell r="K1038" t="str">
            <v>Bildirimsiz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18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1458.9000000595115</v>
          </cell>
        </row>
        <row r="1039">
          <cell r="C1039" t="str">
            <v>KIRKLARELİ</v>
          </cell>
          <cell r="D1039" t="str">
            <v>VİZE</v>
          </cell>
          <cell r="H1039" t="str">
            <v>Dağıtım-AG</v>
          </cell>
          <cell r="I1039" t="str">
            <v>Uzun</v>
          </cell>
          <cell r="J1039" t="str">
            <v>Şebeke işletmecisi</v>
          </cell>
          <cell r="K1039" t="str">
            <v>Bildirimsiz</v>
          </cell>
          <cell r="O1039">
            <v>0</v>
          </cell>
          <cell r="P1039">
            <v>0</v>
          </cell>
          <cell r="Q1039">
            <v>0</v>
          </cell>
          <cell r="R1039">
            <v>3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243.14999997848645</v>
          </cell>
          <cell r="Y1039">
            <v>0</v>
          </cell>
          <cell r="Z1039">
            <v>0</v>
          </cell>
        </row>
        <row r="1040">
          <cell r="C1040" t="str">
            <v>TEKİRDAĞ</v>
          </cell>
          <cell r="D1040" t="str">
            <v>MALKARA</v>
          </cell>
          <cell r="H1040" t="str">
            <v>Dağıtım-AG</v>
          </cell>
          <cell r="I1040" t="str">
            <v>Uzun</v>
          </cell>
          <cell r="J1040" t="str">
            <v>Şebeke işletmecisi</v>
          </cell>
          <cell r="K1040" t="str">
            <v>Bildirimsiz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5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404.66666665161029</v>
          </cell>
        </row>
        <row r="1041">
          <cell r="C1041" t="str">
            <v>TEKİRDAĞ</v>
          </cell>
          <cell r="D1041" t="str">
            <v>MARMARAEREĞLİSİ</v>
          </cell>
          <cell r="H1041" t="str">
            <v>Dağıtım-AG</v>
          </cell>
          <cell r="I1041" t="str">
            <v>Uzun</v>
          </cell>
          <cell r="J1041" t="str">
            <v>Şebeke İşletmecisi</v>
          </cell>
          <cell r="K1041" t="str">
            <v>Bildirimsiz</v>
          </cell>
          <cell r="O1041">
            <v>0</v>
          </cell>
          <cell r="P1041">
            <v>0</v>
          </cell>
          <cell r="Q1041">
            <v>0</v>
          </cell>
          <cell r="R1041">
            <v>138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11143.499999453779</v>
          </cell>
          <cell r="Y1041">
            <v>0</v>
          </cell>
          <cell r="Z1041">
            <v>0</v>
          </cell>
        </row>
        <row r="1042">
          <cell r="C1042" t="str">
            <v>TEKİRDAĞ</v>
          </cell>
          <cell r="D1042" t="str">
            <v>SÜLEYMANPAŞA</v>
          </cell>
          <cell r="H1042" t="str">
            <v>Dağıtım-AG</v>
          </cell>
          <cell r="I1042" t="str">
            <v>Uzun</v>
          </cell>
          <cell r="J1042" t="str">
            <v>Şebeke işletmecisi</v>
          </cell>
          <cell r="K1042" t="str">
            <v>Bildirimsiz</v>
          </cell>
          <cell r="O1042">
            <v>0</v>
          </cell>
          <cell r="P1042">
            <v>2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161.43333333078772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C1043" t="str">
            <v>EDİRNE</v>
          </cell>
          <cell r="D1043" t="str">
            <v>UZUNKÖPRÜ</v>
          </cell>
          <cell r="H1043" t="str">
            <v>Dağıtım-OG</v>
          </cell>
          <cell r="I1043" t="str">
            <v>Uzun</v>
          </cell>
          <cell r="J1043" t="str">
            <v>Şebeke işletmecisi</v>
          </cell>
          <cell r="K1043" t="str">
            <v>Bildirimsiz</v>
          </cell>
          <cell r="O1043">
            <v>2</v>
          </cell>
          <cell r="P1043">
            <v>0</v>
          </cell>
          <cell r="Q1043">
            <v>0</v>
          </cell>
          <cell r="R1043">
            <v>0</v>
          </cell>
          <cell r="S1043">
            <v>4</v>
          </cell>
          <cell r="T1043">
            <v>0</v>
          </cell>
          <cell r="U1043">
            <v>161.19999998481944</v>
          </cell>
          <cell r="V1043">
            <v>0</v>
          </cell>
          <cell r="W1043">
            <v>0</v>
          </cell>
          <cell r="X1043">
            <v>0</v>
          </cell>
          <cell r="Y1043">
            <v>322.39999996963888</v>
          </cell>
          <cell r="Z1043">
            <v>0</v>
          </cell>
        </row>
        <row r="1044">
          <cell r="C1044" t="str">
            <v>TEKİRDAĞ</v>
          </cell>
          <cell r="D1044" t="str">
            <v>SÜLEYMANPAŞA</v>
          </cell>
          <cell r="H1044" t="str">
            <v>Dağıtım-AG</v>
          </cell>
          <cell r="I1044" t="str">
            <v>Uzun</v>
          </cell>
          <cell r="J1044" t="str">
            <v>Şebeke işletmecisi</v>
          </cell>
          <cell r="K1044" t="str">
            <v>Bildirimsiz</v>
          </cell>
          <cell r="O1044">
            <v>0</v>
          </cell>
          <cell r="P1044">
            <v>5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402.5833333551418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5">
          <cell r="C1045" t="str">
            <v>KIRKLARELİ</v>
          </cell>
          <cell r="D1045" t="str">
            <v>PINARHİSAR</v>
          </cell>
          <cell r="H1045" t="str">
            <v>Dağıtım-OG</v>
          </cell>
          <cell r="I1045" t="str">
            <v>Uzun</v>
          </cell>
          <cell r="J1045" t="str">
            <v>Şebeke İşletmecisi</v>
          </cell>
          <cell r="K1045" t="str">
            <v>Bildirimsiz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12</v>
          </cell>
          <cell r="T1045">
            <v>289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965.6000000378117</v>
          </cell>
          <cell r="Z1045">
            <v>23254.866667577298</v>
          </cell>
        </row>
        <row r="1046">
          <cell r="C1046" t="str">
            <v>TEKİRDAĞ</v>
          </cell>
          <cell r="D1046" t="str">
            <v>KAPAKLI</v>
          </cell>
          <cell r="H1046" t="str">
            <v>Dağıtım-AG</v>
          </cell>
          <cell r="I1046" t="str">
            <v>Uzun</v>
          </cell>
          <cell r="J1046" t="str">
            <v>Şebeke işletmecisi</v>
          </cell>
          <cell r="K1046" t="str">
            <v>Bildirimsiz</v>
          </cell>
          <cell r="O1046">
            <v>0</v>
          </cell>
          <cell r="P1046">
            <v>576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46348.800001814961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</row>
        <row r="1047">
          <cell r="C1047" t="str">
            <v>KIRKLARELİ</v>
          </cell>
          <cell r="D1047" t="str">
            <v>LÜLEBURGAZ</v>
          </cell>
          <cell r="H1047" t="str">
            <v>Dağıtım-OG</v>
          </cell>
          <cell r="I1047" t="str">
            <v>Uzun</v>
          </cell>
          <cell r="J1047" t="str">
            <v>Şebeke işletmecisi</v>
          </cell>
          <cell r="K1047" t="str">
            <v>Bildirimli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15</v>
          </cell>
          <cell r="T1047">
            <v>835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1205.2499999525025</v>
          </cell>
          <cell r="Z1047">
            <v>67092.249997355975</v>
          </cell>
        </row>
        <row r="1048">
          <cell r="C1048" t="str">
            <v>TEKİRDAĞ</v>
          </cell>
          <cell r="D1048" t="str">
            <v>ÇERKEZKÖY</v>
          </cell>
          <cell r="H1048" t="str">
            <v>Dağıtım-OG</v>
          </cell>
          <cell r="I1048" t="str">
            <v>Uzun</v>
          </cell>
          <cell r="J1048" t="str">
            <v>Şebeke işletmecisi</v>
          </cell>
          <cell r="K1048" t="str">
            <v>Bildirimsiz</v>
          </cell>
          <cell r="O1048">
            <v>1</v>
          </cell>
          <cell r="P1048">
            <v>49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80.333333336748183</v>
          </cell>
          <cell r="V1048">
            <v>3936.333333500661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</row>
        <row r="1049">
          <cell r="C1049" t="str">
            <v>TEKİRDAĞ</v>
          </cell>
          <cell r="D1049" t="str">
            <v>ŞARKÖY</v>
          </cell>
          <cell r="H1049" t="str">
            <v>Dağıtım-AG</v>
          </cell>
          <cell r="I1049" t="str">
            <v>Uzun</v>
          </cell>
          <cell r="J1049" t="str">
            <v>Şebeke işletmecisi</v>
          </cell>
          <cell r="K1049" t="str">
            <v>Bildirimsiz</v>
          </cell>
          <cell r="O1049">
            <v>0</v>
          </cell>
          <cell r="P1049">
            <v>0</v>
          </cell>
          <cell r="Q1049">
            <v>0</v>
          </cell>
          <cell r="R1049">
            <v>6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481.99999995762482</v>
          </cell>
          <cell r="Y1049">
            <v>0</v>
          </cell>
          <cell r="Z1049">
            <v>0</v>
          </cell>
        </row>
        <row r="1050">
          <cell r="C1050" t="str">
            <v>KIRKLARELİ</v>
          </cell>
          <cell r="D1050" t="str">
            <v>LÜLEBURGAZ</v>
          </cell>
          <cell r="H1050" t="str">
            <v>Dağıtım-AG</v>
          </cell>
          <cell r="I1050" t="str">
            <v>Uzun</v>
          </cell>
          <cell r="J1050" t="str">
            <v>Şebeke işletmecisi</v>
          </cell>
          <cell r="K1050" t="str">
            <v>Bildirimsiz</v>
          </cell>
          <cell r="O1050">
            <v>0</v>
          </cell>
          <cell r="P1050">
            <v>21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1686.3000001281034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</row>
        <row r="1051">
          <cell r="C1051" t="str">
            <v>TEKİRDAĞ</v>
          </cell>
          <cell r="D1051" t="str">
            <v>ŞARKÖY</v>
          </cell>
          <cell r="H1051" t="str">
            <v>Dağıtım-OG</v>
          </cell>
          <cell r="I1051" t="str">
            <v>Uzun</v>
          </cell>
          <cell r="J1051" t="str">
            <v>Şebeke işletmecisi</v>
          </cell>
          <cell r="K1051" t="str">
            <v>Bildirimli</v>
          </cell>
          <cell r="O1051">
            <v>0</v>
          </cell>
          <cell r="P1051">
            <v>3</v>
          </cell>
          <cell r="Q1051">
            <v>0</v>
          </cell>
          <cell r="R1051">
            <v>330</v>
          </cell>
          <cell r="S1051">
            <v>0</v>
          </cell>
          <cell r="T1051">
            <v>723</v>
          </cell>
          <cell r="U1051">
            <v>0</v>
          </cell>
          <cell r="V1051">
            <v>240.75000001466833</v>
          </cell>
          <cell r="W1051">
            <v>0</v>
          </cell>
          <cell r="X1051">
            <v>26482.500001613516</v>
          </cell>
          <cell r="Y1051">
            <v>0</v>
          </cell>
          <cell r="Z1051">
            <v>58020.750003535068</v>
          </cell>
        </row>
        <row r="1052">
          <cell r="C1052" t="str">
            <v>EDİRNE</v>
          </cell>
          <cell r="D1052" t="str">
            <v>UZUNKÖPRÜ</v>
          </cell>
          <cell r="H1052" t="str">
            <v>Dağıtım-OG</v>
          </cell>
          <cell r="I1052" t="str">
            <v>Uzun</v>
          </cell>
          <cell r="J1052" t="str">
            <v>Şebeke İşletmecisi</v>
          </cell>
          <cell r="K1052" t="str">
            <v>Bildirimsiz</v>
          </cell>
          <cell r="O1052">
            <v>0</v>
          </cell>
          <cell r="P1052">
            <v>330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26416.500000015367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</row>
        <row r="1053">
          <cell r="C1053" t="str">
            <v>TEKİRDAĞ</v>
          </cell>
          <cell r="D1053" t="str">
            <v>SÜLEYMANPAŞA</v>
          </cell>
          <cell r="H1053" t="str">
            <v>Dağıtım-OG</v>
          </cell>
          <cell r="I1053" t="str">
            <v>Uzun</v>
          </cell>
          <cell r="J1053" t="str">
            <v>Şebeke işletmecisi</v>
          </cell>
          <cell r="K1053" t="str">
            <v>Bildirimsiz</v>
          </cell>
          <cell r="O1053">
            <v>4</v>
          </cell>
          <cell r="P1053">
            <v>3324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319.40000002272427</v>
          </cell>
          <cell r="V1053">
            <v>265421.40001888387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</row>
        <row r="1054">
          <cell r="C1054" t="str">
            <v>TEKİRDAĞ</v>
          </cell>
          <cell r="D1054" t="str">
            <v>MALKARA</v>
          </cell>
          <cell r="H1054" t="str">
            <v>Dağıtım-AG</v>
          </cell>
          <cell r="I1054" t="str">
            <v>Uzun</v>
          </cell>
          <cell r="J1054" t="str">
            <v>Şebeke işletmecisi</v>
          </cell>
          <cell r="K1054" t="str">
            <v>Bildirimsiz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9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716.10000002081506</v>
          </cell>
        </row>
        <row r="1055">
          <cell r="C1055" t="str">
            <v>EDİRNE</v>
          </cell>
          <cell r="D1055" t="str">
            <v>MERİÇ</v>
          </cell>
          <cell r="H1055" t="str">
            <v>Dağıtım-AG</v>
          </cell>
          <cell r="I1055" t="str">
            <v>Uzun</v>
          </cell>
          <cell r="J1055" t="str">
            <v>Şebeke işletmecisi</v>
          </cell>
          <cell r="K1055" t="str">
            <v>Bildirimsiz</v>
          </cell>
          <cell r="O1055">
            <v>0</v>
          </cell>
          <cell r="P1055">
            <v>0</v>
          </cell>
          <cell r="Q1055">
            <v>0</v>
          </cell>
          <cell r="R1055">
            <v>5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397.58333333884366</v>
          </cell>
          <cell r="Y1055">
            <v>0</v>
          </cell>
          <cell r="Z1055">
            <v>0</v>
          </cell>
        </row>
        <row r="1056">
          <cell r="C1056" t="str">
            <v>TEKİRDAĞ</v>
          </cell>
          <cell r="D1056" t="str">
            <v>ERGENE</v>
          </cell>
          <cell r="H1056" t="str">
            <v>Dağıtım-AG</v>
          </cell>
          <cell r="I1056" t="str">
            <v>Uzun</v>
          </cell>
          <cell r="J1056" t="str">
            <v>Şebeke işletmecisi</v>
          </cell>
          <cell r="K1056" t="str">
            <v>Bildirimsiz</v>
          </cell>
          <cell r="O1056">
            <v>0</v>
          </cell>
          <cell r="P1056">
            <v>59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4689.5166662719566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</row>
        <row r="1057">
          <cell r="C1057" t="str">
            <v>KIRKLARELİ</v>
          </cell>
          <cell r="D1057" t="str">
            <v>LÜLEBURGAZ</v>
          </cell>
          <cell r="H1057" t="str">
            <v>Dağıtım-AG</v>
          </cell>
          <cell r="I1057" t="str">
            <v>Uzun</v>
          </cell>
          <cell r="J1057" t="str">
            <v>Şebeke işletmecisi</v>
          </cell>
          <cell r="K1057" t="str">
            <v>Bildirimsiz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91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7216.2999993050471</v>
          </cell>
        </row>
        <row r="1058">
          <cell r="C1058" t="str">
            <v>TEKİRDAĞ</v>
          </cell>
          <cell r="D1058" t="str">
            <v>ÇORLU</v>
          </cell>
          <cell r="H1058" t="str">
            <v>Dağıtım-AG</v>
          </cell>
          <cell r="I1058" t="str">
            <v>Uzun</v>
          </cell>
          <cell r="J1058" t="str">
            <v>Şebeke işletmecisi</v>
          </cell>
          <cell r="K1058" t="str">
            <v>Bildirimsiz</v>
          </cell>
          <cell r="O1058">
            <v>0</v>
          </cell>
          <cell r="P1058">
            <v>98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7759.9666663259268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C1059" t="str">
            <v>KIRKLARELİ</v>
          </cell>
          <cell r="D1059" t="str">
            <v>LÜLEBURGAZ</v>
          </cell>
          <cell r="H1059" t="str">
            <v>Dağıtım-AG</v>
          </cell>
          <cell r="I1059" t="str">
            <v>Uzun</v>
          </cell>
          <cell r="J1059" t="str">
            <v>Şebeke işletmecisi</v>
          </cell>
          <cell r="K1059" t="str">
            <v>Bildirimsiz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91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7195.0666667288169</v>
          </cell>
        </row>
        <row r="1060">
          <cell r="C1060" t="str">
            <v>TEKİRDAĞ</v>
          </cell>
          <cell r="D1060" t="str">
            <v>MARMARAEREĞLİSİ</v>
          </cell>
          <cell r="H1060" t="str">
            <v>Dağıtım-AG</v>
          </cell>
          <cell r="I1060" t="str">
            <v>Uzun</v>
          </cell>
          <cell r="J1060" t="str">
            <v>Şebeke İşletmecisi</v>
          </cell>
          <cell r="K1060" t="str">
            <v>Bildirimsiz</v>
          </cell>
          <cell r="O1060">
            <v>0</v>
          </cell>
          <cell r="P1060">
            <v>0</v>
          </cell>
          <cell r="Q1060">
            <v>0</v>
          </cell>
          <cell r="R1060">
            <v>45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3557.9999995592516</v>
          </cell>
          <cell r="Y1060">
            <v>0</v>
          </cell>
          <cell r="Z1060">
            <v>0</v>
          </cell>
        </row>
        <row r="1061">
          <cell r="C1061" t="str">
            <v>TEKİRDAĞ</v>
          </cell>
          <cell r="D1061" t="str">
            <v>SARAY</v>
          </cell>
          <cell r="H1061" t="str">
            <v>Dağıtım-OG</v>
          </cell>
          <cell r="I1061" t="str">
            <v>Uzun</v>
          </cell>
          <cell r="J1061" t="str">
            <v>Şebeke işletmecisi</v>
          </cell>
          <cell r="K1061" t="str">
            <v>Bildirimli</v>
          </cell>
          <cell r="O1061">
            <v>0</v>
          </cell>
          <cell r="P1061">
            <v>0</v>
          </cell>
          <cell r="Q1061">
            <v>1</v>
          </cell>
          <cell r="R1061">
            <v>763</v>
          </cell>
          <cell r="S1061">
            <v>0</v>
          </cell>
          <cell r="T1061">
            <v>1</v>
          </cell>
          <cell r="U1061">
            <v>0</v>
          </cell>
          <cell r="V1061">
            <v>0</v>
          </cell>
          <cell r="W1061">
            <v>78.883333333069459</v>
          </cell>
          <cell r="X1061">
            <v>60187.983333131997</v>
          </cell>
          <cell r="Y1061">
            <v>0</v>
          </cell>
          <cell r="Z1061">
            <v>78.883333333069459</v>
          </cell>
        </row>
        <row r="1062">
          <cell r="C1062" t="str">
            <v>KIRKLARELİ</v>
          </cell>
          <cell r="D1062" t="str">
            <v>KIRKLARELİMERKEZ</v>
          </cell>
          <cell r="H1062" t="str">
            <v>Dağıtım-OG</v>
          </cell>
          <cell r="I1062" t="str">
            <v>Uzun</v>
          </cell>
          <cell r="J1062" t="str">
            <v>Şebeke işletmecisi</v>
          </cell>
          <cell r="K1062" t="str">
            <v>Bildirimsiz</v>
          </cell>
          <cell r="O1062">
            <v>0</v>
          </cell>
          <cell r="P1062">
            <v>833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65709.816666446859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</row>
        <row r="1063">
          <cell r="C1063" t="str">
            <v>KIRKLARELİ</v>
          </cell>
          <cell r="D1063" t="str">
            <v>DEMİRKÖY</v>
          </cell>
          <cell r="H1063" t="str">
            <v>Dağıtım-AG</v>
          </cell>
          <cell r="I1063" t="str">
            <v>Uzun</v>
          </cell>
          <cell r="J1063" t="str">
            <v>Şebeke işletmecisi</v>
          </cell>
          <cell r="K1063" t="str">
            <v>Bildirimsiz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14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1102.9666666290723</v>
          </cell>
        </row>
        <row r="1064">
          <cell r="C1064" t="str">
            <v>EDİRNE</v>
          </cell>
          <cell r="D1064" t="str">
            <v>SÜLOĞLU</v>
          </cell>
          <cell r="H1064" t="str">
            <v>Dağıtım-AG</v>
          </cell>
          <cell r="I1064" t="str">
            <v>Uzun</v>
          </cell>
          <cell r="J1064" t="str">
            <v>Şebeke işletmecisi</v>
          </cell>
          <cell r="K1064" t="str">
            <v>Bildirimsiz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45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3531.7500000237487</v>
          </cell>
        </row>
        <row r="1065">
          <cell r="C1065" t="str">
            <v>KIRKLARELİ</v>
          </cell>
          <cell r="D1065" t="str">
            <v>KIRKLARELİMERKEZ</v>
          </cell>
          <cell r="H1065" t="str">
            <v>Dağıtım-AG</v>
          </cell>
          <cell r="I1065" t="str">
            <v>Uzun</v>
          </cell>
          <cell r="J1065" t="str">
            <v>Şebeke işletmecisi</v>
          </cell>
          <cell r="K1065" t="str">
            <v>Bildirimsiz</v>
          </cell>
          <cell r="O1065">
            <v>0</v>
          </cell>
          <cell r="P1065">
            <v>18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1410.3000000142492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6">
          <cell r="C1066" t="str">
            <v>EDİRNE</v>
          </cell>
          <cell r="D1066" t="str">
            <v>EDİRNEMERKEZ</v>
          </cell>
          <cell r="H1066" t="str">
            <v>Dağıtım-AG</v>
          </cell>
          <cell r="I1066" t="str">
            <v>Uzun</v>
          </cell>
          <cell r="J1066" t="str">
            <v>Şebeke işletmecisi</v>
          </cell>
          <cell r="K1066" t="str">
            <v>Bildirimsiz</v>
          </cell>
          <cell r="O1066">
            <v>0</v>
          </cell>
          <cell r="P1066">
            <v>30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2348.4999998705462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</row>
        <row r="1067">
          <cell r="C1067" t="str">
            <v>TEKİRDAĞ</v>
          </cell>
          <cell r="D1067" t="str">
            <v>HAYRABOLU</v>
          </cell>
          <cell r="H1067" t="str">
            <v>Dağıtım-OG</v>
          </cell>
          <cell r="I1067" t="str">
            <v>Uzun</v>
          </cell>
          <cell r="J1067" t="str">
            <v>Şebeke işletmecisi</v>
          </cell>
          <cell r="K1067" t="str">
            <v>Bildirimli</v>
          </cell>
          <cell r="O1067">
            <v>0</v>
          </cell>
          <cell r="P1067">
            <v>0</v>
          </cell>
          <cell r="Q1067">
            <v>0</v>
          </cell>
          <cell r="R1067">
            <v>2</v>
          </cell>
          <cell r="S1067">
            <v>1</v>
          </cell>
          <cell r="T1067">
            <v>315</v>
          </cell>
          <cell r="U1067">
            <v>0</v>
          </cell>
          <cell r="V1067">
            <v>0</v>
          </cell>
          <cell r="W1067">
            <v>0</v>
          </cell>
          <cell r="X1067">
            <v>156.53333333786577</v>
          </cell>
          <cell r="Y1067">
            <v>78.266666668932885</v>
          </cell>
          <cell r="Z1067">
            <v>24654.000000713859</v>
          </cell>
        </row>
        <row r="1068">
          <cell r="C1068" t="str">
            <v>TEKİRDAĞ</v>
          </cell>
          <cell r="D1068" t="str">
            <v>HAYRABOLU</v>
          </cell>
          <cell r="H1068" t="str">
            <v>Dağıtım-AG</v>
          </cell>
          <cell r="I1068" t="str">
            <v>Uzun</v>
          </cell>
          <cell r="J1068" t="str">
            <v>Şebeke işletmecisi</v>
          </cell>
          <cell r="K1068" t="str">
            <v>Bildirimsiz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7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547.16666666558012</v>
          </cell>
        </row>
        <row r="1069">
          <cell r="C1069" t="str">
            <v>KIRKLARELİ</v>
          </cell>
          <cell r="D1069" t="str">
            <v>LÜLEBURGAZ</v>
          </cell>
          <cell r="H1069" t="str">
            <v>Dağıtım-OG</v>
          </cell>
          <cell r="I1069" t="str">
            <v>Uzun</v>
          </cell>
          <cell r="J1069" t="str">
            <v>Şebeke işletmecisi</v>
          </cell>
          <cell r="K1069" t="str">
            <v>Bildirimsiz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3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234.25000000395812</v>
          </cell>
          <cell r="Z1069">
            <v>0</v>
          </cell>
        </row>
        <row r="1070">
          <cell r="C1070" t="str">
            <v>TEKİRDAĞ</v>
          </cell>
          <cell r="D1070" t="str">
            <v>ERGENE</v>
          </cell>
          <cell r="H1070" t="str">
            <v>Dağıtım-AG</v>
          </cell>
          <cell r="I1070" t="str">
            <v>Uzun</v>
          </cell>
          <cell r="J1070" t="str">
            <v>Şebeke işletmecisi</v>
          </cell>
          <cell r="K1070" t="str">
            <v>Bildirimsiz</v>
          </cell>
          <cell r="O1070">
            <v>0</v>
          </cell>
          <cell r="P1070">
            <v>111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8663.5500004445203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1">
          <cell r="C1071" t="str">
            <v>TEKİRDAĞ</v>
          </cell>
          <cell r="D1071" t="str">
            <v>ERGENE</v>
          </cell>
          <cell r="H1071" t="str">
            <v>Dağıtım-OG</v>
          </cell>
          <cell r="I1071" t="str">
            <v>Uzun</v>
          </cell>
          <cell r="J1071" t="str">
            <v>Şebeke işletmecisi</v>
          </cell>
          <cell r="K1071" t="str">
            <v>Bildirimsiz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2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156.06666666688398</v>
          </cell>
          <cell r="Z1071">
            <v>0</v>
          </cell>
        </row>
        <row r="1072">
          <cell r="C1072" t="str">
            <v>EDİRNE</v>
          </cell>
          <cell r="D1072" t="str">
            <v>EDİRNEMERKEZ</v>
          </cell>
          <cell r="H1072" t="str">
            <v>Dağıtım-OG</v>
          </cell>
          <cell r="I1072" t="str">
            <v>Uzun</v>
          </cell>
          <cell r="J1072" t="str">
            <v>Şebeke işletmecisi</v>
          </cell>
          <cell r="K1072" t="str">
            <v>Bildirimsiz</v>
          </cell>
          <cell r="O1072">
            <v>3</v>
          </cell>
          <cell r="P1072">
            <v>3</v>
          </cell>
          <cell r="Q1072">
            <v>0</v>
          </cell>
          <cell r="R1072">
            <v>0</v>
          </cell>
          <cell r="S1072">
            <v>16</v>
          </cell>
          <cell r="T1072">
            <v>480</v>
          </cell>
          <cell r="U1072">
            <v>234.0000000083819</v>
          </cell>
          <cell r="V1072">
            <v>234.0000000083819</v>
          </cell>
          <cell r="W1072">
            <v>0</v>
          </cell>
          <cell r="X1072">
            <v>0</v>
          </cell>
          <cell r="Y1072">
            <v>1248.0000000447035</v>
          </cell>
          <cell r="Z1072">
            <v>37440.000001341105</v>
          </cell>
        </row>
        <row r="1073">
          <cell r="C1073" t="str">
            <v>KIRKLARELİ</v>
          </cell>
          <cell r="D1073" t="str">
            <v>LÜLEBURGAZ</v>
          </cell>
          <cell r="H1073" t="str">
            <v>Dağıtım-AG</v>
          </cell>
          <cell r="I1073" t="str">
            <v>Uzun</v>
          </cell>
          <cell r="J1073" t="str">
            <v>Şebeke işletmecisi</v>
          </cell>
          <cell r="K1073" t="str">
            <v>Bildirimsiz</v>
          </cell>
          <cell r="O1073">
            <v>0</v>
          </cell>
          <cell r="P1073">
            <v>1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77.88333332980983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C1074" t="str">
            <v>KIRKLARELİ</v>
          </cell>
          <cell r="D1074" t="str">
            <v>PEHLİVANKÖY</v>
          </cell>
          <cell r="H1074" t="str">
            <v>Dağıtım-OG</v>
          </cell>
          <cell r="I1074" t="str">
            <v>Uzun</v>
          </cell>
          <cell r="J1074" t="str">
            <v>Şebeke işletmecisi</v>
          </cell>
          <cell r="K1074" t="str">
            <v>Bildirimsiz</v>
          </cell>
          <cell r="O1074">
            <v>0</v>
          </cell>
          <cell r="P1074">
            <v>0</v>
          </cell>
          <cell r="Q1074">
            <v>0</v>
          </cell>
          <cell r="R1074">
            <v>73</v>
          </cell>
          <cell r="S1074">
            <v>1</v>
          </cell>
          <cell r="T1074">
            <v>256</v>
          </cell>
          <cell r="U1074">
            <v>0</v>
          </cell>
          <cell r="V1074">
            <v>0</v>
          </cell>
          <cell r="W1074">
            <v>0</v>
          </cell>
          <cell r="X1074">
            <v>5676.9666667131241</v>
          </cell>
          <cell r="Y1074">
            <v>77.76666666730307</v>
          </cell>
          <cell r="Z1074">
            <v>19908.266666829586</v>
          </cell>
        </row>
        <row r="1075">
          <cell r="C1075" t="str">
            <v>TEKİRDAĞ</v>
          </cell>
          <cell r="D1075" t="str">
            <v>MARMARAEREĞLİSİ</v>
          </cell>
          <cell r="H1075" t="str">
            <v>Dağıtım-AG</v>
          </cell>
          <cell r="I1075" t="str">
            <v>Uzun</v>
          </cell>
          <cell r="J1075" t="str">
            <v>Şebeke işletmecisi</v>
          </cell>
          <cell r="K1075" t="str">
            <v>Bildirimsiz</v>
          </cell>
          <cell r="O1075">
            <v>0</v>
          </cell>
          <cell r="P1075">
            <v>0</v>
          </cell>
          <cell r="Q1075">
            <v>0</v>
          </cell>
          <cell r="R1075">
            <v>19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1477.249999938067</v>
          </cell>
          <cell r="Y1075">
            <v>0</v>
          </cell>
          <cell r="Z1075">
            <v>0</v>
          </cell>
        </row>
        <row r="1076">
          <cell r="C1076" t="str">
            <v>EDİRNE</v>
          </cell>
          <cell r="D1076" t="str">
            <v>EDİRNEMERKEZ</v>
          </cell>
          <cell r="H1076" t="str">
            <v>Dağıtım-OG</v>
          </cell>
          <cell r="I1076" t="str">
            <v>Uzun</v>
          </cell>
          <cell r="J1076" t="str">
            <v>Şebeke işletmecisi</v>
          </cell>
          <cell r="K1076" t="str">
            <v>Bildirimsiz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2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155.36666667088866</v>
          </cell>
          <cell r="Z1076">
            <v>0</v>
          </cell>
        </row>
        <row r="1077">
          <cell r="C1077" t="str">
            <v>TEKİRDAĞ</v>
          </cell>
          <cell r="D1077" t="str">
            <v>ÇORLU</v>
          </cell>
          <cell r="H1077" t="str">
            <v>Dağıtım-AG</v>
          </cell>
          <cell r="I1077" t="str">
            <v>Uzun</v>
          </cell>
          <cell r="J1077" t="str">
            <v>Dışsal</v>
          </cell>
          <cell r="K1077" t="str">
            <v>Bildirimsiz</v>
          </cell>
          <cell r="O1077">
            <v>0</v>
          </cell>
          <cell r="P1077">
            <v>382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29655.933329674881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</row>
        <row r="1078">
          <cell r="C1078" t="str">
            <v>EDİRNE</v>
          </cell>
          <cell r="D1078" t="str">
            <v>MERİÇ</v>
          </cell>
          <cell r="H1078" t="str">
            <v>Dağıtım-AG</v>
          </cell>
          <cell r="I1078" t="str">
            <v>Uzun</v>
          </cell>
          <cell r="J1078" t="str">
            <v>Şebeke işletmecisi</v>
          </cell>
          <cell r="K1078" t="str">
            <v>Bildirimsiz</v>
          </cell>
          <cell r="O1078">
            <v>0</v>
          </cell>
          <cell r="P1078">
            <v>0</v>
          </cell>
          <cell r="Q1078">
            <v>0</v>
          </cell>
          <cell r="R1078">
            <v>9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698.09999996214174</v>
          </cell>
          <cell r="Y1078">
            <v>0</v>
          </cell>
          <cell r="Z1078">
            <v>0</v>
          </cell>
        </row>
        <row r="1079">
          <cell r="C1079" t="str">
            <v>TEKİRDAĞ</v>
          </cell>
          <cell r="D1079" t="str">
            <v>HAYRABOLU</v>
          </cell>
          <cell r="H1079" t="str">
            <v>Dağıtım-AG</v>
          </cell>
          <cell r="I1079" t="str">
            <v>Uzun</v>
          </cell>
          <cell r="J1079" t="str">
            <v>Şebeke işletmecisi</v>
          </cell>
          <cell r="K1079" t="str">
            <v>Bildirimli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38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2946.2666666088626</v>
          </cell>
        </row>
        <row r="1080">
          <cell r="C1080" t="str">
            <v>TEKİRDAĞ</v>
          </cell>
          <cell r="D1080" t="str">
            <v>MURATLI</v>
          </cell>
          <cell r="H1080" t="str">
            <v>Dağıtım-AG</v>
          </cell>
          <cell r="I1080" t="str">
            <v>Uzun</v>
          </cell>
          <cell r="J1080" t="str">
            <v>Şebeke işletmecisi</v>
          </cell>
          <cell r="K1080" t="str">
            <v>Bildirimsiz</v>
          </cell>
          <cell r="O1080">
            <v>0</v>
          </cell>
          <cell r="P1080">
            <v>23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1782.5000000267755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1">
          <cell r="C1081" t="str">
            <v>KIRKLARELİ</v>
          </cell>
          <cell r="D1081" t="str">
            <v>BABAESKİ</v>
          </cell>
          <cell r="H1081" t="str">
            <v>Dağıtım-OG</v>
          </cell>
          <cell r="I1081" t="str">
            <v>Uzun</v>
          </cell>
          <cell r="J1081" t="str">
            <v>Şebeke işletmecisi</v>
          </cell>
          <cell r="K1081" t="str">
            <v>Bildirimsiz</v>
          </cell>
          <cell r="O1081">
            <v>5</v>
          </cell>
          <cell r="P1081">
            <v>6</v>
          </cell>
          <cell r="Q1081">
            <v>5</v>
          </cell>
          <cell r="R1081">
            <v>1895</v>
          </cell>
          <cell r="S1081">
            <v>13</v>
          </cell>
          <cell r="T1081">
            <v>719</v>
          </cell>
          <cell r="U1081">
            <v>387.33333335258067</v>
          </cell>
          <cell r="V1081">
            <v>464.8000000230968</v>
          </cell>
          <cell r="W1081">
            <v>387.33333335258067</v>
          </cell>
          <cell r="X1081">
            <v>146799.33334062807</v>
          </cell>
          <cell r="Y1081">
            <v>1007.0666667167097</v>
          </cell>
          <cell r="Z1081">
            <v>55698.5333361011</v>
          </cell>
        </row>
        <row r="1082">
          <cell r="C1082" t="str">
            <v>EDİRNE</v>
          </cell>
          <cell r="D1082" t="str">
            <v>EDİRNEMERKEZ</v>
          </cell>
          <cell r="H1082" t="str">
            <v>Dağıtım-OG</v>
          </cell>
          <cell r="I1082" t="str">
            <v>Uzun</v>
          </cell>
          <cell r="J1082" t="str">
            <v>Şebeke işletmecisi</v>
          </cell>
          <cell r="K1082" t="str">
            <v>Bildirimsiz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2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154.79999999748543</v>
          </cell>
          <cell r="Z1082">
            <v>0</v>
          </cell>
        </row>
        <row r="1083">
          <cell r="C1083" t="str">
            <v>TEKİRDAĞ</v>
          </cell>
          <cell r="D1083" t="str">
            <v>MALKARA</v>
          </cell>
          <cell r="H1083" t="str">
            <v>Dağıtım-OG</v>
          </cell>
          <cell r="I1083" t="str">
            <v>Uzun</v>
          </cell>
          <cell r="J1083" t="str">
            <v>Şebeke işletmecisi</v>
          </cell>
          <cell r="K1083" t="str">
            <v>Bildirimli</v>
          </cell>
          <cell r="O1083">
            <v>0</v>
          </cell>
          <cell r="P1083">
            <v>0</v>
          </cell>
          <cell r="Q1083">
            <v>2</v>
          </cell>
          <cell r="R1083">
            <v>0</v>
          </cell>
          <cell r="S1083">
            <v>1</v>
          </cell>
          <cell r="T1083">
            <v>0</v>
          </cell>
          <cell r="U1083">
            <v>0</v>
          </cell>
          <cell r="V1083">
            <v>0</v>
          </cell>
          <cell r="W1083">
            <v>154.76666665636003</v>
          </cell>
          <cell r="X1083">
            <v>0</v>
          </cell>
          <cell r="Y1083">
            <v>77.383333328180015</v>
          </cell>
          <cell r="Z1083">
            <v>0</v>
          </cell>
        </row>
        <row r="1084">
          <cell r="C1084" t="str">
            <v>EDİRNE</v>
          </cell>
          <cell r="D1084" t="str">
            <v>KEŞAN</v>
          </cell>
          <cell r="H1084" t="str">
            <v>Dağıtım-OG</v>
          </cell>
          <cell r="I1084" t="str">
            <v>Uzun</v>
          </cell>
          <cell r="J1084" t="str">
            <v>Şebeke işletmecisi</v>
          </cell>
          <cell r="K1084" t="str">
            <v>Bildirimsiz</v>
          </cell>
          <cell r="O1084">
            <v>1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>
            <v>214</v>
          </cell>
          <cell r="U1084">
            <v>77.316666666883975</v>
          </cell>
          <cell r="V1084">
            <v>0</v>
          </cell>
          <cell r="W1084">
            <v>0</v>
          </cell>
          <cell r="X1084">
            <v>0</v>
          </cell>
          <cell r="Y1084">
            <v>77.316666666883975</v>
          </cell>
          <cell r="Z1084">
            <v>16545.766666713171</v>
          </cell>
        </row>
        <row r="1085">
          <cell r="C1085" t="str">
            <v>KIRKLARELİ</v>
          </cell>
          <cell r="D1085" t="str">
            <v>KIRKLARELİMERKEZ</v>
          </cell>
          <cell r="H1085" t="str">
            <v>Dağıtım-AG</v>
          </cell>
          <cell r="I1085" t="str">
            <v>Uzun</v>
          </cell>
          <cell r="J1085" t="str">
            <v>Şebeke işletmecisi</v>
          </cell>
          <cell r="K1085" t="str">
            <v>Bildirimsiz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10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772.50000005587935</v>
          </cell>
        </row>
        <row r="1086">
          <cell r="C1086" t="str">
            <v>KIRKLARELİ</v>
          </cell>
          <cell r="D1086" t="str">
            <v>VİZE</v>
          </cell>
          <cell r="H1086" t="str">
            <v>Dağıtım-AG</v>
          </cell>
          <cell r="I1086" t="str">
            <v>Uzun</v>
          </cell>
          <cell r="J1086" t="str">
            <v>Şebeke işletmecisi</v>
          </cell>
          <cell r="K1086" t="str">
            <v>Bildirimsiz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25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1928.7500000791624</v>
          </cell>
        </row>
        <row r="1087">
          <cell r="C1087" t="str">
            <v>KIRKLARELİ</v>
          </cell>
          <cell r="D1087" t="str">
            <v>VİZE</v>
          </cell>
          <cell r="H1087" t="str">
            <v>Dağıtım-AG</v>
          </cell>
          <cell r="I1087" t="str">
            <v>Uzun</v>
          </cell>
          <cell r="J1087" t="str">
            <v>Şebeke işletmecisi</v>
          </cell>
          <cell r="K1087" t="str">
            <v>Bildirimsiz</v>
          </cell>
          <cell r="O1087">
            <v>0</v>
          </cell>
          <cell r="P1087">
            <v>0</v>
          </cell>
          <cell r="Q1087">
            <v>0</v>
          </cell>
          <cell r="R1087">
            <v>1</v>
          </cell>
          <cell r="S1087">
            <v>0</v>
          </cell>
          <cell r="T1087">
            <v>59</v>
          </cell>
          <cell r="U1087">
            <v>0</v>
          </cell>
          <cell r="V1087">
            <v>0</v>
          </cell>
          <cell r="W1087">
            <v>0</v>
          </cell>
          <cell r="X1087">
            <v>77.116666672518477</v>
          </cell>
          <cell r="Y1087">
            <v>0</v>
          </cell>
          <cell r="Z1087">
            <v>4549.8833336785901</v>
          </cell>
        </row>
        <row r="1088">
          <cell r="C1088" t="str">
            <v>KIRKLARELİ</v>
          </cell>
          <cell r="D1088" t="str">
            <v>LÜLEBURGAZ</v>
          </cell>
          <cell r="H1088" t="str">
            <v>Dağıtım-AG</v>
          </cell>
          <cell r="I1088" t="str">
            <v>Uzun</v>
          </cell>
          <cell r="J1088" t="str">
            <v>Şebeke işletmecisi</v>
          </cell>
          <cell r="K1088" t="str">
            <v>Bildirimsiz</v>
          </cell>
          <cell r="O1088">
            <v>0</v>
          </cell>
          <cell r="P1088">
            <v>78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6015.0999996392056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C1089" t="str">
            <v>TEKİRDAĞ</v>
          </cell>
          <cell r="D1089" t="str">
            <v>ÇORLU</v>
          </cell>
          <cell r="H1089" t="str">
            <v>Dağıtım-OG</v>
          </cell>
          <cell r="I1089" t="str">
            <v>Uzun</v>
          </cell>
          <cell r="J1089" t="str">
            <v>Şebeke işletmecisi</v>
          </cell>
          <cell r="K1089" t="str">
            <v>Bildirimsiz</v>
          </cell>
          <cell r="O1089">
            <v>0</v>
          </cell>
          <cell r="P1089">
            <v>23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1773.6833332269453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C1090" t="str">
            <v>TEKİRDAĞ</v>
          </cell>
          <cell r="D1090" t="str">
            <v>ŞARKÖY</v>
          </cell>
          <cell r="H1090" t="str">
            <v>Dağıtım-AG</v>
          </cell>
          <cell r="I1090" t="str">
            <v>Uzun</v>
          </cell>
          <cell r="J1090" t="str">
            <v>Şebeke işletmecisi</v>
          </cell>
          <cell r="K1090" t="str">
            <v>Bildirimsiz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38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2924.1000003344379</v>
          </cell>
        </row>
        <row r="1091">
          <cell r="C1091" t="str">
            <v>KIRKLARELİ</v>
          </cell>
          <cell r="D1091" t="str">
            <v>LÜLEBURGAZ</v>
          </cell>
          <cell r="H1091" t="str">
            <v>Dağıtım-AG</v>
          </cell>
          <cell r="I1091" t="str">
            <v>Uzun</v>
          </cell>
          <cell r="J1091" t="str">
            <v>Şebeke işletmecisi</v>
          </cell>
          <cell r="K1091" t="str">
            <v>Bildirimsiz</v>
          </cell>
          <cell r="O1091">
            <v>0</v>
          </cell>
          <cell r="P1091">
            <v>84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6458.1999994302168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</row>
        <row r="1092">
          <cell r="C1092" t="str">
            <v>TEKİRDAĞ</v>
          </cell>
          <cell r="D1092" t="str">
            <v>SÜLEYMANPAŞA</v>
          </cell>
          <cell r="H1092" t="str">
            <v>Dağıtım-AG</v>
          </cell>
          <cell r="I1092" t="str">
            <v>Uzun</v>
          </cell>
          <cell r="J1092" t="str">
            <v>Şebeke işletmecisi</v>
          </cell>
          <cell r="K1092" t="str">
            <v>Bildirimsiz</v>
          </cell>
          <cell r="O1092">
            <v>0</v>
          </cell>
          <cell r="P1092">
            <v>1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76.799999994691461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</row>
        <row r="1093">
          <cell r="C1093" t="str">
            <v>EDİRNE</v>
          </cell>
          <cell r="D1093" t="str">
            <v>KEŞAN</v>
          </cell>
          <cell r="H1093" t="str">
            <v>Dağıtım-AG</v>
          </cell>
          <cell r="I1093" t="str">
            <v>Uzun</v>
          </cell>
          <cell r="J1093" t="str">
            <v>Şebeke işletmecisi</v>
          </cell>
          <cell r="K1093" t="str">
            <v>Bildirimsiz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27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2068.200000008801</v>
          </cell>
        </row>
        <row r="1094">
          <cell r="C1094" t="str">
            <v>TEKİRDAĞ</v>
          </cell>
          <cell r="D1094" t="str">
            <v>MALKARA</v>
          </cell>
          <cell r="H1094" t="str">
            <v>Dağıtım-AG</v>
          </cell>
          <cell r="I1094" t="str">
            <v>Uzun</v>
          </cell>
          <cell r="J1094" t="str">
            <v>Şebeke işletmecisi</v>
          </cell>
          <cell r="K1094" t="str">
            <v>Bildirimsiz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6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459.50000004144385</v>
          </cell>
        </row>
        <row r="1095">
          <cell r="C1095" t="str">
            <v>TEKİRDAĞ</v>
          </cell>
          <cell r="D1095" t="str">
            <v>MALKARA</v>
          </cell>
          <cell r="H1095" t="str">
            <v>Dağıtım-OG</v>
          </cell>
          <cell r="I1095" t="str">
            <v>Uzun</v>
          </cell>
          <cell r="J1095" t="str">
            <v>Şebeke işletmecisi</v>
          </cell>
          <cell r="K1095" t="str">
            <v>Bildirimsiz</v>
          </cell>
          <cell r="O1095">
            <v>0</v>
          </cell>
          <cell r="P1095">
            <v>1</v>
          </cell>
          <cell r="Q1095">
            <v>0</v>
          </cell>
          <cell r="R1095">
            <v>0</v>
          </cell>
          <cell r="S1095">
            <v>2</v>
          </cell>
          <cell r="T1095">
            <v>267</v>
          </cell>
          <cell r="U1095">
            <v>0</v>
          </cell>
          <cell r="V1095">
            <v>76.549999999115244</v>
          </cell>
          <cell r="W1095">
            <v>0</v>
          </cell>
          <cell r="X1095">
            <v>0</v>
          </cell>
          <cell r="Y1095">
            <v>153.09999999823049</v>
          </cell>
          <cell r="Z1095">
            <v>20438.84999976377</v>
          </cell>
        </row>
        <row r="1096">
          <cell r="C1096" t="str">
            <v>TEKİRDAĞ</v>
          </cell>
          <cell r="D1096" t="str">
            <v>ÇORLU</v>
          </cell>
          <cell r="H1096" t="str">
            <v>Dağıtım-OG</v>
          </cell>
          <cell r="I1096" t="str">
            <v>Uzun</v>
          </cell>
          <cell r="J1096" t="str">
            <v>Şebeke işletmecisi</v>
          </cell>
          <cell r="K1096" t="str">
            <v>Bildirimli</v>
          </cell>
          <cell r="O1096">
            <v>0</v>
          </cell>
          <cell r="P1096">
            <v>2985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228352.499993745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</row>
        <row r="1097">
          <cell r="C1097" t="str">
            <v>TEKİRDAĞ</v>
          </cell>
          <cell r="D1097" t="str">
            <v>ÇERKEZKÖY</v>
          </cell>
          <cell r="H1097" t="str">
            <v>Dağıtım-AG</v>
          </cell>
          <cell r="I1097" t="str">
            <v>Uzun</v>
          </cell>
          <cell r="J1097" t="str">
            <v>Şebeke işletmecisi</v>
          </cell>
          <cell r="K1097" t="str">
            <v>Bildirimsiz</v>
          </cell>
          <cell r="O1097">
            <v>0</v>
          </cell>
          <cell r="P1097">
            <v>76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5810.1999997487292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C1098" t="str">
            <v>TEKİRDAĞ</v>
          </cell>
          <cell r="D1098" t="str">
            <v>SARAY</v>
          </cell>
          <cell r="H1098" t="str">
            <v>Dağıtım-AG</v>
          </cell>
          <cell r="I1098" t="str">
            <v>Uzun</v>
          </cell>
          <cell r="J1098" t="str">
            <v>Şebeke işletmecisi</v>
          </cell>
          <cell r="K1098" t="str">
            <v>Bildirimsiz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8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611.06666668318212</v>
          </cell>
        </row>
        <row r="1099">
          <cell r="C1099" t="str">
            <v>EDİRNE</v>
          </cell>
          <cell r="D1099" t="str">
            <v>ENEZ</v>
          </cell>
          <cell r="H1099" t="str">
            <v>Dağıtım-OG</v>
          </cell>
          <cell r="I1099" t="str">
            <v>Uzun</v>
          </cell>
          <cell r="J1099" t="str">
            <v>Şebeke işletmecisi</v>
          </cell>
          <cell r="K1099" t="str">
            <v>Bildirimsiz</v>
          </cell>
          <cell r="O1099">
            <v>0</v>
          </cell>
          <cell r="P1099">
            <v>0</v>
          </cell>
          <cell r="Q1099">
            <v>39</v>
          </cell>
          <cell r="R1099">
            <v>0</v>
          </cell>
          <cell r="S1099">
            <v>6</v>
          </cell>
          <cell r="T1099">
            <v>2</v>
          </cell>
          <cell r="U1099">
            <v>0</v>
          </cell>
          <cell r="V1099">
            <v>0</v>
          </cell>
          <cell r="W1099">
            <v>2978.3000003371853</v>
          </cell>
          <cell r="X1099">
            <v>0</v>
          </cell>
          <cell r="Y1099">
            <v>458.20000005187467</v>
          </cell>
          <cell r="Z1099">
            <v>152.73333335062489</v>
          </cell>
        </row>
        <row r="1100">
          <cell r="C1100" t="str">
            <v>KIRKLARELİ</v>
          </cell>
          <cell r="D1100" t="str">
            <v>KOFÇAZ</v>
          </cell>
          <cell r="H1100" t="str">
            <v>Dağıtım-AG</v>
          </cell>
          <cell r="I1100" t="str">
            <v>Uzun</v>
          </cell>
          <cell r="J1100" t="str">
            <v>Şebeke işletmecisi</v>
          </cell>
          <cell r="K1100" t="str">
            <v>Bildirimsiz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76.366666664835066</v>
          </cell>
        </row>
        <row r="1101">
          <cell r="C1101" t="str">
            <v>EDİRNE</v>
          </cell>
          <cell r="D1101" t="str">
            <v>HAVSA</v>
          </cell>
          <cell r="H1101" t="str">
            <v>Dağıtım-AG</v>
          </cell>
          <cell r="I1101" t="str">
            <v>Uzun</v>
          </cell>
          <cell r="J1101" t="str">
            <v>Şebeke işletmecisi</v>
          </cell>
          <cell r="K1101" t="str">
            <v>Bildirimsiz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37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2824.9499997880775</v>
          </cell>
        </row>
        <row r="1102">
          <cell r="C1102" t="str">
            <v>TEKİRDAĞ</v>
          </cell>
          <cell r="D1102" t="str">
            <v>ÇORLU</v>
          </cell>
          <cell r="H1102" t="str">
            <v>Dağıtım-OG</v>
          </cell>
          <cell r="I1102" t="str">
            <v>Uzun</v>
          </cell>
          <cell r="J1102" t="str">
            <v>Şebeke işletmecisi</v>
          </cell>
          <cell r="K1102" t="str">
            <v>Bildirimsiz</v>
          </cell>
          <cell r="O1102">
            <v>31</v>
          </cell>
          <cell r="P1102">
            <v>89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2363.7500000721775</v>
          </cell>
          <cell r="V1102">
            <v>6786.2500002072193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C1103" t="str">
            <v>KIRKLARELİ</v>
          </cell>
          <cell r="D1103" t="str">
            <v>LÜLEBURGAZ</v>
          </cell>
          <cell r="H1103" t="str">
            <v>Dağıtım-AG</v>
          </cell>
          <cell r="I1103" t="str">
            <v>Uzun</v>
          </cell>
          <cell r="J1103" t="str">
            <v>Şebeke işletmecisi</v>
          </cell>
          <cell r="K1103" t="str">
            <v>Bildirimsiz</v>
          </cell>
          <cell r="O1103">
            <v>0</v>
          </cell>
          <cell r="P1103">
            <v>174</v>
          </cell>
          <cell r="Q1103">
            <v>0</v>
          </cell>
          <cell r="R1103">
            <v>0</v>
          </cell>
          <cell r="S1103">
            <v>0</v>
          </cell>
          <cell r="T1103">
            <v>1</v>
          </cell>
          <cell r="U1103">
            <v>0</v>
          </cell>
          <cell r="V1103">
            <v>13264.599999727216</v>
          </cell>
          <cell r="W1103">
            <v>0</v>
          </cell>
          <cell r="X1103">
            <v>0</v>
          </cell>
          <cell r="Y1103">
            <v>0</v>
          </cell>
          <cell r="Z1103">
            <v>76.233333331765607</v>
          </cell>
        </row>
        <row r="1104">
          <cell r="C1104" t="str">
            <v>EDİRNE</v>
          </cell>
          <cell r="D1104" t="str">
            <v>KEŞAN</v>
          </cell>
          <cell r="H1104" t="str">
            <v>Dağıtım-OG</v>
          </cell>
          <cell r="I1104" t="str">
            <v>Uzun</v>
          </cell>
          <cell r="J1104" t="str">
            <v>Şebeke işletmecisi</v>
          </cell>
          <cell r="K1104" t="str">
            <v>Bildirimsiz</v>
          </cell>
          <cell r="O1104">
            <v>0</v>
          </cell>
          <cell r="P1104">
            <v>0</v>
          </cell>
          <cell r="Q1104">
            <v>3</v>
          </cell>
          <cell r="R1104">
            <v>0</v>
          </cell>
          <cell r="S1104">
            <v>2</v>
          </cell>
          <cell r="T1104">
            <v>0</v>
          </cell>
          <cell r="U1104">
            <v>0</v>
          </cell>
          <cell r="V1104">
            <v>0</v>
          </cell>
          <cell r="W1104">
            <v>228.4499999997206</v>
          </cell>
          <cell r="X1104">
            <v>0</v>
          </cell>
          <cell r="Y1104">
            <v>152.29999999981374</v>
          </cell>
          <cell r="Z1104">
            <v>0</v>
          </cell>
        </row>
        <row r="1105">
          <cell r="C1105" t="str">
            <v>KIRKLARELİ</v>
          </cell>
          <cell r="D1105" t="str">
            <v>KIRKLARELİMERKEZ</v>
          </cell>
          <cell r="H1105" t="str">
            <v>Dağıtım-OG</v>
          </cell>
          <cell r="I1105" t="str">
            <v>Uzun</v>
          </cell>
          <cell r="J1105" t="str">
            <v>Şebeke işletmecisi</v>
          </cell>
          <cell r="K1105" t="str">
            <v>Bildirimsiz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2</v>
          </cell>
          <cell r="T1105">
            <v>247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152.16666667722166</v>
          </cell>
          <cell r="Z1105">
            <v>18792.583334636874</v>
          </cell>
        </row>
        <row r="1106">
          <cell r="C1106" t="str">
            <v>TEKİRDAĞ</v>
          </cell>
          <cell r="D1106" t="str">
            <v>MURATLI</v>
          </cell>
          <cell r="H1106" t="str">
            <v>Dağıtım-AG</v>
          </cell>
          <cell r="I1106" t="str">
            <v>Uzun</v>
          </cell>
          <cell r="J1106" t="str">
            <v>Şebeke işletmecisi</v>
          </cell>
          <cell r="K1106" t="str">
            <v>Bildirimsiz</v>
          </cell>
          <cell r="O1106">
            <v>0</v>
          </cell>
          <cell r="P1106">
            <v>27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2052.9000001098029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</row>
        <row r="1107">
          <cell r="C1107" t="str">
            <v>TEKİRDAĞ</v>
          </cell>
          <cell r="D1107" t="str">
            <v>ŞARKÖY</v>
          </cell>
          <cell r="H1107" t="str">
            <v>Dağıtım-AG</v>
          </cell>
          <cell r="I1107" t="str">
            <v>Uzun</v>
          </cell>
          <cell r="J1107" t="str">
            <v>Şebeke işletmecisi</v>
          </cell>
          <cell r="K1107" t="str">
            <v>Bildirimsiz</v>
          </cell>
          <cell r="O1107">
            <v>0</v>
          </cell>
          <cell r="P1107">
            <v>0</v>
          </cell>
          <cell r="Q1107">
            <v>0</v>
          </cell>
          <cell r="R1107">
            <v>16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1213.0666667595506</v>
          </cell>
          <cell r="Y1107">
            <v>0</v>
          </cell>
          <cell r="Z1107">
            <v>0</v>
          </cell>
        </row>
        <row r="1108">
          <cell r="C1108" t="str">
            <v>TEKİRDAĞ</v>
          </cell>
          <cell r="D1108" t="str">
            <v>ÇORLU</v>
          </cell>
          <cell r="H1108" t="str">
            <v>Dağıtım-AG</v>
          </cell>
          <cell r="I1108" t="str">
            <v>Uzun</v>
          </cell>
          <cell r="J1108" t="str">
            <v>Şebeke işletmecisi</v>
          </cell>
          <cell r="K1108" t="str">
            <v>Bildirimsiz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44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3332.2666669869795</v>
          </cell>
        </row>
        <row r="1109">
          <cell r="C1109" t="str">
            <v>KIRKLARELİ</v>
          </cell>
          <cell r="D1109" t="str">
            <v>LÜLEBURGAZ</v>
          </cell>
          <cell r="H1109" t="str">
            <v>Dağıtım-AG</v>
          </cell>
          <cell r="I1109" t="str">
            <v>Uzun</v>
          </cell>
          <cell r="J1109" t="str">
            <v>Şebeke işletmecisi</v>
          </cell>
          <cell r="K1109" t="str">
            <v>Bildirimsiz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3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227.09999999846332</v>
          </cell>
        </row>
        <row r="1110">
          <cell r="C1110" t="str">
            <v>EDİRNE</v>
          </cell>
          <cell r="D1110" t="str">
            <v>UZUNKÖPRÜ</v>
          </cell>
          <cell r="H1110" t="str">
            <v>Dağıtım-AG</v>
          </cell>
          <cell r="I1110" t="str">
            <v>Uzun</v>
          </cell>
          <cell r="J1110" t="str">
            <v>Şebeke işletmecisi</v>
          </cell>
          <cell r="K1110" t="str">
            <v>Bildirimsiz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30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2270.0000000651926</v>
          </cell>
        </row>
        <row r="1111">
          <cell r="C1111" t="str">
            <v>TEKİRDAĞ</v>
          </cell>
          <cell r="D1111" t="str">
            <v>MALKARA</v>
          </cell>
          <cell r="H1111" t="str">
            <v>Dağıtım-AG</v>
          </cell>
          <cell r="I1111" t="str">
            <v>Uzun</v>
          </cell>
          <cell r="J1111" t="str">
            <v>Şebeke işletmecisi</v>
          </cell>
          <cell r="K1111" t="str">
            <v>Bildirimsiz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5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378.33333329181187</v>
          </cell>
        </row>
        <row r="1112">
          <cell r="C1112" t="str">
            <v>TEKİRDAĞ</v>
          </cell>
          <cell r="D1112" t="str">
            <v>ÇORLU</v>
          </cell>
          <cell r="H1112" t="str">
            <v>Dağıtım-AG</v>
          </cell>
          <cell r="I1112" t="str">
            <v>Uzun</v>
          </cell>
          <cell r="J1112" t="str">
            <v>Şebeke işletmecisi</v>
          </cell>
          <cell r="K1112" t="str">
            <v>Bildirimsiz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7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529.54999998793937</v>
          </cell>
        </row>
        <row r="1113">
          <cell r="C1113" t="str">
            <v>KIRKLARELİ</v>
          </cell>
          <cell r="D1113" t="str">
            <v>VİZE</v>
          </cell>
          <cell r="H1113" t="str">
            <v>Dağıtım-OG</v>
          </cell>
          <cell r="I1113" t="str">
            <v>Uzun</v>
          </cell>
          <cell r="J1113" t="str">
            <v>Şebeke işletmecisi</v>
          </cell>
          <cell r="K1113" t="str">
            <v>Bildirimsiz</v>
          </cell>
          <cell r="O1113">
            <v>0</v>
          </cell>
          <cell r="P1113">
            <v>10</v>
          </cell>
          <cell r="Q1113">
            <v>0</v>
          </cell>
          <cell r="R1113">
            <v>0</v>
          </cell>
          <cell r="S1113">
            <v>2</v>
          </cell>
          <cell r="T1113">
            <v>328</v>
          </cell>
          <cell r="U1113">
            <v>0</v>
          </cell>
          <cell r="V1113">
            <v>755.33333325292915</v>
          </cell>
          <cell r="W1113">
            <v>0</v>
          </cell>
          <cell r="X1113">
            <v>0</v>
          </cell>
          <cell r="Y1113">
            <v>151.06666665058583</v>
          </cell>
          <cell r="Z1113">
            <v>24774.933330696076</v>
          </cell>
        </row>
        <row r="1114">
          <cell r="C1114" t="str">
            <v>KIRKLARELİ</v>
          </cell>
          <cell r="D1114" t="str">
            <v>BABAESKİ</v>
          </cell>
          <cell r="H1114" t="str">
            <v>Dağıtım-OG</v>
          </cell>
          <cell r="I1114" t="str">
            <v>Uzun</v>
          </cell>
          <cell r="J1114" t="str">
            <v>Şebeke işletmecisi</v>
          </cell>
          <cell r="K1114" t="str">
            <v>Bildirimli</v>
          </cell>
          <cell r="O1114">
            <v>0</v>
          </cell>
          <cell r="P1114">
            <v>1</v>
          </cell>
          <cell r="Q1114">
            <v>0</v>
          </cell>
          <cell r="R1114">
            <v>57</v>
          </cell>
          <cell r="S1114">
            <v>0</v>
          </cell>
          <cell r="T1114">
            <v>0</v>
          </cell>
          <cell r="U1114">
            <v>0</v>
          </cell>
          <cell r="V1114">
            <v>75.516666665207595</v>
          </cell>
          <cell r="W1114">
            <v>0</v>
          </cell>
          <cell r="X1114">
            <v>4304.4499999168329</v>
          </cell>
          <cell r="Y1114">
            <v>0</v>
          </cell>
          <cell r="Z1114">
            <v>0</v>
          </cell>
        </row>
        <row r="1115">
          <cell r="C1115" t="str">
            <v>EDİRNE</v>
          </cell>
          <cell r="D1115" t="str">
            <v>EDİRNEMERKEZ</v>
          </cell>
          <cell r="H1115" t="str">
            <v>Dağıtım-OG</v>
          </cell>
          <cell r="I1115" t="str">
            <v>Uzun</v>
          </cell>
          <cell r="J1115" t="str">
            <v>Şebeke işletmecisi</v>
          </cell>
          <cell r="K1115" t="str">
            <v>Bildirimli</v>
          </cell>
          <cell r="O1115">
            <v>4</v>
          </cell>
          <cell r="P1115">
            <v>108</v>
          </cell>
          <cell r="Q1115">
            <v>0</v>
          </cell>
          <cell r="R1115">
            <v>0</v>
          </cell>
          <cell r="S1115">
            <v>5</v>
          </cell>
          <cell r="T1115">
            <v>0</v>
          </cell>
          <cell r="U1115">
            <v>301.99999997857958</v>
          </cell>
          <cell r="V1115">
            <v>8153.9999994216487</v>
          </cell>
          <cell r="W1115">
            <v>0</v>
          </cell>
          <cell r="X1115">
            <v>0</v>
          </cell>
          <cell r="Y1115">
            <v>377.49999997322448</v>
          </cell>
          <cell r="Z1115">
            <v>0</v>
          </cell>
        </row>
        <row r="1116">
          <cell r="C1116" t="str">
            <v>TEKİRDAĞ</v>
          </cell>
          <cell r="D1116" t="str">
            <v>MARMARAEREĞLİSİ</v>
          </cell>
          <cell r="H1116" t="str">
            <v>Dağıtım-AG</v>
          </cell>
          <cell r="I1116" t="str">
            <v>Uzun</v>
          </cell>
          <cell r="J1116" t="str">
            <v>Şebeke işletmecisi</v>
          </cell>
          <cell r="K1116" t="str">
            <v>Bildirimsiz</v>
          </cell>
          <cell r="O1116">
            <v>0</v>
          </cell>
          <cell r="P1116">
            <v>64</v>
          </cell>
          <cell r="Q1116">
            <v>0</v>
          </cell>
          <cell r="R1116">
            <v>1</v>
          </cell>
          <cell r="S1116">
            <v>0</v>
          </cell>
          <cell r="T1116">
            <v>0</v>
          </cell>
          <cell r="U1116">
            <v>0</v>
          </cell>
          <cell r="V1116">
            <v>4830.9333334118128</v>
          </cell>
          <cell r="W1116">
            <v>0</v>
          </cell>
          <cell r="X1116">
            <v>75.483333334559575</v>
          </cell>
          <cell r="Y1116">
            <v>0</v>
          </cell>
          <cell r="Z1116">
            <v>0</v>
          </cell>
        </row>
        <row r="1117">
          <cell r="C1117" t="str">
            <v>TEKİRDAĞ</v>
          </cell>
          <cell r="D1117" t="str">
            <v>ŞARKÖY</v>
          </cell>
          <cell r="H1117" t="str">
            <v>Dağıtım-AG</v>
          </cell>
          <cell r="I1117" t="str">
            <v>Uzun</v>
          </cell>
          <cell r="J1117" t="str">
            <v>Şebeke işletmecisi</v>
          </cell>
          <cell r="K1117" t="str">
            <v>Bildirimsiz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19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1433.5500000743195</v>
          </cell>
        </row>
        <row r="1118">
          <cell r="C1118" t="str">
            <v>TEKİRDAĞ</v>
          </cell>
          <cell r="D1118" t="str">
            <v>MARMARAEREĞLİSİ</v>
          </cell>
          <cell r="H1118" t="str">
            <v>Dağıtım-AG</v>
          </cell>
          <cell r="I1118" t="str">
            <v>Uzun</v>
          </cell>
          <cell r="J1118" t="str">
            <v>Şebeke işletmecisi</v>
          </cell>
          <cell r="K1118" t="str">
            <v>Bildirimsiz</v>
          </cell>
          <cell r="O1118">
            <v>0</v>
          </cell>
          <cell r="P1118">
            <v>0</v>
          </cell>
          <cell r="Q1118">
            <v>0</v>
          </cell>
          <cell r="R1118">
            <v>8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603.33333330228925</v>
          </cell>
          <cell r="Y1118">
            <v>0</v>
          </cell>
          <cell r="Z1118">
            <v>0</v>
          </cell>
        </row>
        <row r="1119">
          <cell r="C1119" t="str">
            <v>KIRKLARELİ</v>
          </cell>
          <cell r="D1119" t="str">
            <v>KIRKLARELİMERKEZ</v>
          </cell>
          <cell r="H1119" t="str">
            <v>Dağıtım-OG</v>
          </cell>
          <cell r="I1119" t="str">
            <v>Uzun</v>
          </cell>
          <cell r="J1119" t="str">
            <v>Şebeke işletmecisi</v>
          </cell>
          <cell r="K1119" t="str">
            <v>Bildirimsiz</v>
          </cell>
          <cell r="O1119">
            <v>0</v>
          </cell>
          <cell r="P1119">
            <v>0</v>
          </cell>
          <cell r="Q1119">
            <v>0</v>
          </cell>
          <cell r="R1119">
            <v>76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5719.0000007255003</v>
          </cell>
          <cell r="Y1119">
            <v>0</v>
          </cell>
          <cell r="Z1119">
            <v>0</v>
          </cell>
        </row>
        <row r="1120">
          <cell r="C1120" t="str">
            <v>KIRKLARELİ</v>
          </cell>
          <cell r="D1120" t="str">
            <v>BABAESKİ</v>
          </cell>
          <cell r="H1120" t="str">
            <v>Dağıtım-OG</v>
          </cell>
          <cell r="I1120" t="str">
            <v>Uzun</v>
          </cell>
          <cell r="J1120" t="str">
            <v>Şebeke işletmecisi</v>
          </cell>
          <cell r="K1120" t="str">
            <v>Bildirimsiz</v>
          </cell>
          <cell r="O1120">
            <v>0</v>
          </cell>
          <cell r="P1120">
            <v>660</v>
          </cell>
          <cell r="Q1120">
            <v>0</v>
          </cell>
          <cell r="R1120">
            <v>0</v>
          </cell>
          <cell r="S1120">
            <v>1</v>
          </cell>
          <cell r="T1120">
            <v>0</v>
          </cell>
          <cell r="U1120">
            <v>0</v>
          </cell>
          <cell r="V1120">
            <v>49664.999999385327</v>
          </cell>
          <cell r="W1120">
            <v>0</v>
          </cell>
          <cell r="X1120">
            <v>0</v>
          </cell>
          <cell r="Y1120">
            <v>75.249999999068677</v>
          </cell>
          <cell r="Z1120">
            <v>0</v>
          </cell>
        </row>
        <row r="1121">
          <cell r="C1121" t="str">
            <v>TEKİRDAĞ</v>
          </cell>
          <cell r="D1121" t="str">
            <v>ÇERKEZKÖY</v>
          </cell>
          <cell r="H1121" t="str">
            <v>Dağıtım-AG</v>
          </cell>
          <cell r="I1121" t="str">
            <v>Uzun</v>
          </cell>
          <cell r="J1121" t="str">
            <v>Şebeke işletmecisi</v>
          </cell>
          <cell r="K1121" t="str">
            <v>Bildirimsiz</v>
          </cell>
          <cell r="O1121">
            <v>0</v>
          </cell>
          <cell r="P1121">
            <v>44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3302.2000002069399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2">
          <cell r="C1122" t="str">
            <v>EDİRNE</v>
          </cell>
          <cell r="D1122" t="str">
            <v>EDİRNEMERKEZ</v>
          </cell>
          <cell r="H1122" t="str">
            <v>Dağıtım-AG</v>
          </cell>
          <cell r="I1122" t="str">
            <v>Uzun</v>
          </cell>
          <cell r="J1122" t="str">
            <v>Şebeke işletmecisi</v>
          </cell>
          <cell r="K1122" t="str">
            <v>Bildirimsiz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1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75.0499999942258</v>
          </cell>
        </row>
        <row r="1123">
          <cell r="C1123" t="str">
            <v>EDİRNE</v>
          </cell>
          <cell r="D1123" t="str">
            <v>UZUNKÖPRÜ</v>
          </cell>
          <cell r="H1123" t="str">
            <v>Dağıtım-OG</v>
          </cell>
          <cell r="I1123" t="str">
            <v>Uzun</v>
          </cell>
          <cell r="J1123" t="str">
            <v>Şebeke işletmecisi</v>
          </cell>
          <cell r="K1123" t="str">
            <v>Bildirimsiz</v>
          </cell>
          <cell r="O1123">
            <v>0</v>
          </cell>
          <cell r="P1123">
            <v>628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47110.46667130664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</row>
        <row r="1124">
          <cell r="C1124" t="str">
            <v>TEKİRDAĞ</v>
          </cell>
          <cell r="D1124" t="str">
            <v>ÇERKEZKÖY</v>
          </cell>
          <cell r="H1124" t="str">
            <v>Dağıtım-OG</v>
          </cell>
          <cell r="I1124" t="str">
            <v>Uzun</v>
          </cell>
          <cell r="J1124" t="str">
            <v>Şebeke işletmecisi</v>
          </cell>
          <cell r="K1124" t="str">
            <v>Bildirimsiz</v>
          </cell>
          <cell r="O1124">
            <v>30</v>
          </cell>
          <cell r="P1124">
            <v>45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2247.4999998346902</v>
          </cell>
          <cell r="V1124">
            <v>3371.2499997520354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C1125" t="str">
            <v>KIRKLARELİ</v>
          </cell>
          <cell r="D1125" t="str">
            <v>KIRKLARELİMERKEZ</v>
          </cell>
          <cell r="H1125" t="str">
            <v>Dağıtım-OG</v>
          </cell>
          <cell r="I1125" t="str">
            <v>Uzun</v>
          </cell>
          <cell r="J1125" t="str">
            <v>Şebeke işletmecisi</v>
          </cell>
          <cell r="K1125" t="str">
            <v>Bildirimli</v>
          </cell>
          <cell r="O1125">
            <v>0</v>
          </cell>
          <cell r="P1125">
            <v>73</v>
          </cell>
          <cell r="Q1125">
            <v>0</v>
          </cell>
          <cell r="R1125">
            <v>0</v>
          </cell>
          <cell r="S1125">
            <v>0</v>
          </cell>
          <cell r="T1125">
            <v>936</v>
          </cell>
          <cell r="U1125">
            <v>0</v>
          </cell>
          <cell r="V1125">
            <v>5462.8333338035736</v>
          </cell>
          <cell r="W1125">
            <v>0</v>
          </cell>
          <cell r="X1125">
            <v>0</v>
          </cell>
          <cell r="Y1125">
            <v>0</v>
          </cell>
          <cell r="Z1125">
            <v>70044.000006029382</v>
          </cell>
        </row>
        <row r="1126">
          <cell r="C1126" t="str">
            <v>TEKİRDAĞ</v>
          </cell>
          <cell r="D1126" t="str">
            <v>ÇORLU</v>
          </cell>
          <cell r="H1126" t="str">
            <v>Dağıtım-AG</v>
          </cell>
          <cell r="I1126" t="str">
            <v>Uzun</v>
          </cell>
          <cell r="J1126" t="str">
            <v>Şebeke işletmecisi</v>
          </cell>
          <cell r="K1126" t="str">
            <v>Bildirimsiz</v>
          </cell>
          <cell r="O1126">
            <v>0</v>
          </cell>
          <cell r="P1126">
            <v>2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149.66666667954996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7">
          <cell r="C1127" t="str">
            <v>TEKİRDAĞ</v>
          </cell>
          <cell r="D1127" t="str">
            <v>SÜLEYMANPAŞA</v>
          </cell>
          <cell r="H1127" t="str">
            <v>Dağıtım-AG</v>
          </cell>
          <cell r="I1127" t="str">
            <v>Uzun</v>
          </cell>
          <cell r="J1127" t="str">
            <v>Şebeke işletmecisi</v>
          </cell>
          <cell r="K1127" t="str">
            <v>Bildirimsiz</v>
          </cell>
          <cell r="O1127">
            <v>0</v>
          </cell>
          <cell r="P1127">
            <v>41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3062.0166667818557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</row>
        <row r="1128">
          <cell r="C1128" t="str">
            <v>EDİRNE</v>
          </cell>
          <cell r="D1128" t="str">
            <v>UZUNKÖPRÜ</v>
          </cell>
          <cell r="H1128" t="str">
            <v>Dağıtım-AG</v>
          </cell>
          <cell r="I1128" t="str">
            <v>Uzun</v>
          </cell>
          <cell r="J1128" t="str">
            <v>Şebeke işletmecisi</v>
          </cell>
          <cell r="K1128" t="str">
            <v>Bildirimsiz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6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447.89999997010455</v>
          </cell>
        </row>
        <row r="1129">
          <cell r="C1129" t="str">
            <v>EDİRNE</v>
          </cell>
          <cell r="D1129" t="str">
            <v>İPSALA</v>
          </cell>
          <cell r="H1129" t="str">
            <v>Dağıtım-AG</v>
          </cell>
          <cell r="I1129" t="str">
            <v>Uzun</v>
          </cell>
          <cell r="J1129" t="str">
            <v>Şebeke işletmecisi</v>
          </cell>
          <cell r="K1129" t="str">
            <v>Bildirimsiz</v>
          </cell>
          <cell r="O1129">
            <v>0</v>
          </cell>
          <cell r="P1129">
            <v>0</v>
          </cell>
          <cell r="Q1129">
            <v>0</v>
          </cell>
          <cell r="R1129">
            <v>2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149.09999998519197</v>
          </cell>
          <cell r="Y1129">
            <v>0</v>
          </cell>
          <cell r="Z1129">
            <v>0</v>
          </cell>
        </row>
        <row r="1130">
          <cell r="C1130" t="str">
            <v>TEKİRDAĞ</v>
          </cell>
          <cell r="D1130" t="str">
            <v>MARMARAEREĞLİSİ</v>
          </cell>
          <cell r="H1130" t="str">
            <v>Dağıtım-AG</v>
          </cell>
          <cell r="I1130" t="str">
            <v>Uzun</v>
          </cell>
          <cell r="J1130" t="str">
            <v>Şebeke işletmecisi</v>
          </cell>
          <cell r="K1130" t="str">
            <v>Bildirimsiz</v>
          </cell>
          <cell r="O1130">
            <v>0</v>
          </cell>
          <cell r="P1130">
            <v>0</v>
          </cell>
          <cell r="Q1130">
            <v>0</v>
          </cell>
          <cell r="R1130">
            <v>12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893.40000000782311</v>
          </cell>
          <cell r="Y1130">
            <v>0</v>
          </cell>
          <cell r="Z1130">
            <v>0</v>
          </cell>
        </row>
        <row r="1131">
          <cell r="C1131" t="str">
            <v>TEKİRDAĞ</v>
          </cell>
          <cell r="D1131" t="str">
            <v>SÜLEYMANPAŞA</v>
          </cell>
          <cell r="H1131" t="str">
            <v>Dağıtım-AG</v>
          </cell>
          <cell r="I1131" t="str">
            <v>Uzun</v>
          </cell>
          <cell r="J1131" t="str">
            <v>Şebeke işletmecisi</v>
          </cell>
          <cell r="K1131" t="str">
            <v>Bildirimsiz</v>
          </cell>
          <cell r="O1131">
            <v>0</v>
          </cell>
          <cell r="P1131">
            <v>13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966.33333339588717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C1132" t="str">
            <v>EDİRNE</v>
          </cell>
          <cell r="D1132" t="str">
            <v>UZUNKÖPRÜ</v>
          </cell>
          <cell r="H1132" t="str">
            <v>Dağıtım-AG</v>
          </cell>
          <cell r="I1132" t="str">
            <v>Uzun</v>
          </cell>
          <cell r="J1132" t="str">
            <v>Şebeke işletmecisi</v>
          </cell>
          <cell r="K1132" t="str">
            <v>Bildirimsiz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5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371.49999998509884</v>
          </cell>
        </row>
        <row r="1133">
          <cell r="C1133" t="str">
            <v>TEKİRDAĞ</v>
          </cell>
          <cell r="D1133" t="str">
            <v>SARAY</v>
          </cell>
          <cell r="H1133" t="str">
            <v>Dağıtım-AG</v>
          </cell>
          <cell r="I1133" t="str">
            <v>Uzun</v>
          </cell>
          <cell r="J1133" t="str">
            <v>Şebeke işletmecisi</v>
          </cell>
          <cell r="K1133" t="str">
            <v>Bildirimsiz</v>
          </cell>
          <cell r="O1133">
            <v>0</v>
          </cell>
          <cell r="P1133">
            <v>0</v>
          </cell>
          <cell r="Q1133">
            <v>0</v>
          </cell>
          <cell r="R1133">
            <v>86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6389.7999997437</v>
          </cell>
          <cell r="Y1133">
            <v>0</v>
          </cell>
          <cell r="Z1133">
            <v>0</v>
          </cell>
        </row>
        <row r="1134">
          <cell r="C1134" t="str">
            <v>EDİRNE</v>
          </cell>
          <cell r="D1134" t="str">
            <v>EDİRNEMERKEZ</v>
          </cell>
          <cell r="H1134" t="str">
            <v>Dağıtım-AG</v>
          </cell>
          <cell r="I1134" t="str">
            <v>Uzun</v>
          </cell>
          <cell r="J1134" t="str">
            <v>Şebeke işletmecisi</v>
          </cell>
          <cell r="K1134" t="str">
            <v>Bildirimsiz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40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2965.3333333320916</v>
          </cell>
        </row>
        <row r="1135">
          <cell r="C1135" t="str">
            <v>KIRKLARELİ</v>
          </cell>
          <cell r="D1135" t="str">
            <v>BABAESKİ</v>
          </cell>
          <cell r="H1135" t="str">
            <v>Dağıtım-OG</v>
          </cell>
          <cell r="I1135" t="str">
            <v>Uzun</v>
          </cell>
          <cell r="J1135" t="str">
            <v>Şebeke işletmecisi</v>
          </cell>
          <cell r="K1135" t="str">
            <v>Bildirimsiz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17</v>
          </cell>
          <cell r="T1135">
            <v>1360</v>
          </cell>
          <cell r="U1135">
            <v>74.133333333302289</v>
          </cell>
          <cell r="V1135">
            <v>0</v>
          </cell>
          <cell r="W1135">
            <v>0</v>
          </cell>
          <cell r="X1135">
            <v>74.133333333302289</v>
          </cell>
          <cell r="Y1135">
            <v>1260.2666666661389</v>
          </cell>
          <cell r="Z1135">
            <v>100821.33333329111</v>
          </cell>
        </row>
        <row r="1136">
          <cell r="C1136" t="str">
            <v>TEKİRDAĞ</v>
          </cell>
          <cell r="D1136" t="str">
            <v>SÜLEYMANPAŞA</v>
          </cell>
          <cell r="H1136" t="str">
            <v>Dağıtım-AG</v>
          </cell>
          <cell r="I1136" t="str">
            <v>Uzun</v>
          </cell>
          <cell r="J1136" t="str">
            <v>Şebeke işletmecisi</v>
          </cell>
          <cell r="K1136" t="str">
            <v>Bildirimsiz</v>
          </cell>
          <cell r="O1136">
            <v>0</v>
          </cell>
          <cell r="P1136">
            <v>10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741.1666666273959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7">
          <cell r="C1137" t="str">
            <v>TEKİRDAĞ</v>
          </cell>
          <cell r="D1137" t="str">
            <v>ERGENE</v>
          </cell>
          <cell r="H1137" t="str">
            <v>Dağıtım-OG</v>
          </cell>
          <cell r="I1137" t="str">
            <v>Uzun</v>
          </cell>
          <cell r="J1137" t="str">
            <v>Şebeke işletmecisi</v>
          </cell>
          <cell r="K1137" t="str">
            <v>Bildirimsiz</v>
          </cell>
          <cell r="O1137">
            <v>6</v>
          </cell>
          <cell r="P1137">
            <v>4306</v>
          </cell>
          <cell r="Q1137">
            <v>0</v>
          </cell>
          <cell r="R1137">
            <v>2</v>
          </cell>
          <cell r="S1137">
            <v>0</v>
          </cell>
          <cell r="T1137">
            <v>0</v>
          </cell>
          <cell r="U1137">
            <v>444.60000001592562</v>
          </cell>
          <cell r="V1137">
            <v>319074.60001142928</v>
          </cell>
          <cell r="W1137">
            <v>0</v>
          </cell>
          <cell r="X1137">
            <v>148.20000000530854</v>
          </cell>
          <cell r="Y1137">
            <v>0</v>
          </cell>
          <cell r="Z1137">
            <v>0</v>
          </cell>
        </row>
        <row r="1138">
          <cell r="C1138" t="str">
            <v>KIRKLARELİ</v>
          </cell>
          <cell r="D1138" t="str">
            <v>LÜLEBURGAZ</v>
          </cell>
          <cell r="H1138" t="str">
            <v>Dağıtım-OG</v>
          </cell>
          <cell r="I1138" t="str">
            <v>Uzun</v>
          </cell>
          <cell r="J1138" t="str">
            <v>Şebeke işletmecisi</v>
          </cell>
          <cell r="K1138" t="str">
            <v>Bildirimsiz</v>
          </cell>
          <cell r="O1138">
            <v>2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148.0333333206363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</row>
        <row r="1139">
          <cell r="C1139" t="str">
            <v>EDİRNE</v>
          </cell>
          <cell r="D1139" t="str">
            <v>HAVSA</v>
          </cell>
          <cell r="H1139" t="str">
            <v>Dağıtım-OG</v>
          </cell>
          <cell r="I1139" t="str">
            <v>Uzun</v>
          </cell>
          <cell r="J1139" t="str">
            <v>Şebeke işletmecisi</v>
          </cell>
          <cell r="K1139" t="str">
            <v>Bildirimsiz</v>
          </cell>
          <cell r="O1139">
            <v>0</v>
          </cell>
          <cell r="P1139">
            <v>13</v>
          </cell>
          <cell r="Q1139">
            <v>2</v>
          </cell>
          <cell r="R1139">
            <v>2420</v>
          </cell>
          <cell r="S1139">
            <v>0</v>
          </cell>
          <cell r="T1139">
            <v>4</v>
          </cell>
          <cell r="U1139">
            <v>0</v>
          </cell>
          <cell r="V1139">
            <v>962.0000000030268</v>
          </cell>
          <cell r="W1139">
            <v>148.00000000046566</v>
          </cell>
          <cell r="X1139">
            <v>179080.00000056345</v>
          </cell>
          <cell r="Y1139">
            <v>0</v>
          </cell>
          <cell r="Z1139">
            <v>296.00000000093132</v>
          </cell>
        </row>
        <row r="1140">
          <cell r="C1140" t="str">
            <v>TEKİRDAĞ</v>
          </cell>
          <cell r="D1140" t="str">
            <v>SARAY</v>
          </cell>
          <cell r="H1140" t="str">
            <v>Dağıtım-AG</v>
          </cell>
          <cell r="I1140" t="str">
            <v>Uzun</v>
          </cell>
          <cell r="J1140" t="str">
            <v>Şebeke işletmecisi</v>
          </cell>
          <cell r="K1140" t="str">
            <v>Bildirimsiz</v>
          </cell>
          <cell r="O1140">
            <v>0</v>
          </cell>
          <cell r="P1140">
            <v>0</v>
          </cell>
          <cell r="Q1140">
            <v>0</v>
          </cell>
          <cell r="R1140">
            <v>13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961.78333328571171</v>
          </cell>
          <cell r="Y1140">
            <v>0</v>
          </cell>
          <cell r="Z1140">
            <v>0</v>
          </cell>
        </row>
        <row r="1141">
          <cell r="C1141" t="str">
            <v>TEKİRDAĞ</v>
          </cell>
          <cell r="D1141" t="str">
            <v>MARMARAEREĞLİSİ</v>
          </cell>
          <cell r="H1141" t="str">
            <v>Dağıtım-AG</v>
          </cell>
          <cell r="I1141" t="str">
            <v>Uzun</v>
          </cell>
          <cell r="J1141" t="str">
            <v>Şebeke işletmecisi</v>
          </cell>
          <cell r="K1141" t="str">
            <v>Bildirimsiz</v>
          </cell>
          <cell r="O1141">
            <v>0</v>
          </cell>
          <cell r="P1141">
            <v>1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73.866666667163372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2">
          <cell r="C1142" t="str">
            <v>TEKİRDAĞ</v>
          </cell>
          <cell r="D1142" t="str">
            <v>MARMARAEREĞLİSİ</v>
          </cell>
          <cell r="H1142" t="str">
            <v>Dağıtım-AG</v>
          </cell>
          <cell r="I1142" t="str">
            <v>Uzun</v>
          </cell>
          <cell r="J1142" t="str">
            <v>Şebeke İşletmecisi</v>
          </cell>
          <cell r="K1142" t="str">
            <v>Bildirimsiz</v>
          </cell>
          <cell r="O1142">
            <v>0</v>
          </cell>
          <cell r="P1142">
            <v>0</v>
          </cell>
          <cell r="Q1142">
            <v>0</v>
          </cell>
          <cell r="R1142">
            <v>8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590.79999997280538</v>
          </cell>
          <cell r="Y1142">
            <v>0</v>
          </cell>
          <cell r="Z1142">
            <v>0</v>
          </cell>
        </row>
        <row r="1143">
          <cell r="C1143" t="str">
            <v>TEKİRDAĞ</v>
          </cell>
          <cell r="D1143" t="str">
            <v>SARAY</v>
          </cell>
          <cell r="H1143" t="str">
            <v>Dağıtım-OG</v>
          </cell>
          <cell r="I1143" t="str">
            <v>Uzun</v>
          </cell>
          <cell r="J1143" t="str">
            <v>Şebeke işletmecisi</v>
          </cell>
          <cell r="K1143" t="str">
            <v>Bildirimli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323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23842.783333102707</v>
          </cell>
        </row>
        <row r="1144">
          <cell r="C1144" t="str">
            <v>KIRKLARELİ</v>
          </cell>
          <cell r="D1144" t="str">
            <v>PINARHİSAR</v>
          </cell>
          <cell r="H1144" t="str">
            <v>Dağıtım-AG</v>
          </cell>
          <cell r="I1144" t="str">
            <v>Uzun</v>
          </cell>
          <cell r="J1144" t="str">
            <v>Şebeke işletmecisi</v>
          </cell>
          <cell r="K1144" t="str">
            <v>Bildirimsiz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79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5831.5166666102596</v>
          </cell>
        </row>
        <row r="1145">
          <cell r="C1145" t="str">
            <v>TEKİRDAĞ</v>
          </cell>
          <cell r="D1145" t="str">
            <v>MALKARA</v>
          </cell>
          <cell r="H1145" t="str">
            <v>Dağıtım-AG</v>
          </cell>
          <cell r="I1145" t="str">
            <v>Uzun</v>
          </cell>
          <cell r="J1145" t="str">
            <v>Şebeke işletmecisi</v>
          </cell>
          <cell r="K1145" t="str">
            <v>Bildirimsiz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38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2801.8666666955687</v>
          </cell>
        </row>
        <row r="1146">
          <cell r="C1146" t="str">
            <v>TEKİRDAĞ</v>
          </cell>
          <cell r="D1146" t="str">
            <v>MARMARAEREĞLİSİ</v>
          </cell>
          <cell r="H1146" t="str">
            <v>Dağıtım-AG</v>
          </cell>
          <cell r="I1146" t="str">
            <v>Uzun</v>
          </cell>
          <cell r="J1146" t="str">
            <v>Şebeke işletmecisi</v>
          </cell>
          <cell r="K1146" t="str">
            <v>Bildirimsiz</v>
          </cell>
          <cell r="O1146">
            <v>0</v>
          </cell>
          <cell r="P1146">
            <v>8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589.73333330824971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7">
          <cell r="C1147" t="str">
            <v>KIRKLARELİ</v>
          </cell>
          <cell r="D1147" t="str">
            <v>KIRKLARELİMERKEZ</v>
          </cell>
          <cell r="H1147" t="str">
            <v>Dağıtım-OG</v>
          </cell>
          <cell r="I1147" t="str">
            <v>Uzun</v>
          </cell>
          <cell r="J1147" t="str">
            <v>Şebeke İşletmecisi</v>
          </cell>
          <cell r="K1147" t="str">
            <v>Bildirimsiz</v>
          </cell>
          <cell r="O1147">
            <v>1</v>
          </cell>
          <cell r="P1147">
            <v>0</v>
          </cell>
          <cell r="Q1147">
            <v>6</v>
          </cell>
          <cell r="R1147">
            <v>165</v>
          </cell>
          <cell r="S1147">
            <v>37</v>
          </cell>
          <cell r="T1147">
            <v>1277</v>
          </cell>
          <cell r="U1147">
            <v>73.700000003445894</v>
          </cell>
          <cell r="V1147">
            <v>0</v>
          </cell>
          <cell r="W1147">
            <v>442.20000002067536</v>
          </cell>
          <cell r="X1147">
            <v>12160.500000568572</v>
          </cell>
          <cell r="Y1147">
            <v>2726.9000001274981</v>
          </cell>
          <cell r="Z1147">
            <v>94114.900004400406</v>
          </cell>
        </row>
        <row r="1148">
          <cell r="C1148" t="str">
            <v>EDİRNE</v>
          </cell>
          <cell r="D1148" t="str">
            <v>KEŞAN</v>
          </cell>
          <cell r="H1148" t="str">
            <v>Dağıtım-OG</v>
          </cell>
          <cell r="I1148" t="str">
            <v>Uzun</v>
          </cell>
          <cell r="J1148" t="str">
            <v>Şebeke işletmecisi</v>
          </cell>
          <cell r="K1148" t="str">
            <v>Bildirimsiz</v>
          </cell>
          <cell r="O1148">
            <v>1</v>
          </cell>
          <cell r="P1148">
            <v>30</v>
          </cell>
          <cell r="Q1148">
            <v>0</v>
          </cell>
          <cell r="R1148">
            <v>0</v>
          </cell>
          <cell r="S1148">
            <v>2</v>
          </cell>
          <cell r="T1148">
            <v>1</v>
          </cell>
          <cell r="U1148">
            <v>73.650000002235174</v>
          </cell>
          <cell r="V1148">
            <v>2209.5000000670552</v>
          </cell>
          <cell r="W1148">
            <v>0</v>
          </cell>
          <cell r="X1148">
            <v>0</v>
          </cell>
          <cell r="Y1148">
            <v>147.30000000447035</v>
          </cell>
          <cell r="Z1148">
            <v>73.650000002235174</v>
          </cell>
        </row>
        <row r="1149">
          <cell r="C1149" t="str">
            <v>EDİRNE</v>
          </cell>
          <cell r="D1149" t="str">
            <v>EDİRNEMERKEZ</v>
          </cell>
          <cell r="H1149" t="str">
            <v>Dağıtım-OG</v>
          </cell>
          <cell r="I1149" t="str">
            <v>Uzun</v>
          </cell>
          <cell r="J1149" t="str">
            <v>Şebeke İşletmecisi</v>
          </cell>
          <cell r="K1149" t="str">
            <v>Bildirimsiz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9</v>
          </cell>
          <cell r="T1149">
            <v>414</v>
          </cell>
          <cell r="U1149">
            <v>0</v>
          </cell>
          <cell r="V1149">
            <v>0</v>
          </cell>
          <cell r="W1149">
            <v>0</v>
          </cell>
          <cell r="X1149">
            <v>73.566666670376435</v>
          </cell>
          <cell r="Y1149">
            <v>662.10000003338791</v>
          </cell>
          <cell r="Z1149">
            <v>30456.600001535844</v>
          </cell>
        </row>
        <row r="1150">
          <cell r="C1150" t="str">
            <v>KIRKLARELİ</v>
          </cell>
          <cell r="D1150" t="str">
            <v>KIRKLARELİMERKEZ</v>
          </cell>
          <cell r="H1150" t="str">
            <v>Dağıtım-AG</v>
          </cell>
          <cell r="I1150" t="str">
            <v>Uzun</v>
          </cell>
          <cell r="J1150" t="str">
            <v>Şebeke işletmecisi</v>
          </cell>
          <cell r="K1150" t="str">
            <v>Bildirimsiz</v>
          </cell>
          <cell r="O1150">
            <v>0</v>
          </cell>
          <cell r="P1150">
            <v>42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3087.0000003813766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C1151" t="str">
            <v>EDİRNE</v>
          </cell>
          <cell r="D1151" t="str">
            <v>İPSALA</v>
          </cell>
          <cell r="H1151" t="str">
            <v>Dağıtım-OG</v>
          </cell>
          <cell r="I1151" t="str">
            <v>Uzun</v>
          </cell>
          <cell r="J1151" t="str">
            <v>Şebeke işletmecisi</v>
          </cell>
          <cell r="K1151" t="str">
            <v>Bildirimsiz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476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34962.199998758733</v>
          </cell>
        </row>
        <row r="1152">
          <cell r="C1152" t="str">
            <v>EDİRNE</v>
          </cell>
          <cell r="D1152" t="str">
            <v>HAVSA</v>
          </cell>
          <cell r="H1152" t="str">
            <v>Dağıtım-OG</v>
          </cell>
          <cell r="I1152" t="str">
            <v>Uzun</v>
          </cell>
          <cell r="J1152" t="str">
            <v>Şebeke işletmecisi</v>
          </cell>
          <cell r="K1152" t="str">
            <v>Bildirimsiz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1</v>
          </cell>
          <cell r="T1152">
            <v>1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73.350000005448237</v>
          </cell>
          <cell r="Z1152">
            <v>73.350000005448237</v>
          </cell>
        </row>
        <row r="1153">
          <cell r="C1153" t="str">
            <v>TEKİRDAĞ</v>
          </cell>
          <cell r="D1153" t="str">
            <v>MARMARAEREĞLİSİ</v>
          </cell>
          <cell r="H1153" t="str">
            <v>Dağıtım-AG</v>
          </cell>
          <cell r="I1153" t="str">
            <v>Uzun</v>
          </cell>
          <cell r="J1153" t="str">
            <v>Şebeke işletmecisi</v>
          </cell>
          <cell r="K1153" t="str">
            <v>Bildirimsiz</v>
          </cell>
          <cell r="O1153">
            <v>0</v>
          </cell>
          <cell r="P1153">
            <v>73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5353.3333334466442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</row>
        <row r="1154">
          <cell r="C1154" t="str">
            <v>EDİRNE</v>
          </cell>
          <cell r="D1154" t="str">
            <v>UZUNKÖPRÜ</v>
          </cell>
          <cell r="H1154" t="str">
            <v>Dağıtım-AG</v>
          </cell>
          <cell r="I1154" t="str">
            <v>Uzun</v>
          </cell>
          <cell r="J1154" t="str">
            <v>Şebeke işletmecisi</v>
          </cell>
          <cell r="K1154" t="str">
            <v>Bildirimsiz</v>
          </cell>
          <cell r="O1154">
            <v>0</v>
          </cell>
          <cell r="P1154">
            <v>64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4686.9333332777023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C1155" t="str">
            <v>TEKİRDAĞ</v>
          </cell>
          <cell r="D1155" t="str">
            <v>SARAY</v>
          </cell>
          <cell r="H1155" t="str">
            <v>Dağıtım-AG</v>
          </cell>
          <cell r="I1155" t="str">
            <v>Uzun</v>
          </cell>
          <cell r="J1155" t="str">
            <v>Şebeke işletmecisi</v>
          </cell>
          <cell r="K1155" t="str">
            <v>Bildirimsiz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1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73.09999999939464</v>
          </cell>
        </row>
        <row r="1156">
          <cell r="C1156" t="str">
            <v>KIRKLARELİ</v>
          </cell>
          <cell r="D1156" t="str">
            <v>BABAESKİ</v>
          </cell>
          <cell r="H1156" t="str">
            <v>Dağıtım-AG</v>
          </cell>
          <cell r="I1156" t="str">
            <v>Uzun</v>
          </cell>
          <cell r="J1156" t="str">
            <v>Şebeke işletmecisi</v>
          </cell>
          <cell r="K1156" t="str">
            <v>Bildirimsiz</v>
          </cell>
          <cell r="O1156">
            <v>0</v>
          </cell>
          <cell r="P1156">
            <v>0</v>
          </cell>
          <cell r="Q1156">
            <v>0</v>
          </cell>
          <cell r="R1156">
            <v>68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4967.3999998765066</v>
          </cell>
          <cell r="Y1156">
            <v>0</v>
          </cell>
          <cell r="Z1156">
            <v>0</v>
          </cell>
        </row>
        <row r="1157">
          <cell r="C1157" t="str">
            <v>KIRKLARELİ</v>
          </cell>
          <cell r="D1157" t="str">
            <v>VİZE</v>
          </cell>
          <cell r="H1157" t="str">
            <v>Dağıtım-AG</v>
          </cell>
          <cell r="I1157" t="str">
            <v>Uzun</v>
          </cell>
          <cell r="J1157" t="str">
            <v>Şebeke işletmecisi</v>
          </cell>
          <cell r="K1157" t="str">
            <v>Bildirimsiz</v>
          </cell>
          <cell r="O1157">
            <v>0</v>
          </cell>
          <cell r="P1157">
            <v>0</v>
          </cell>
          <cell r="Q1157">
            <v>0</v>
          </cell>
          <cell r="R1157">
            <v>84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6123.5999995423481</v>
          </cell>
          <cell r="Y1157">
            <v>0</v>
          </cell>
          <cell r="Z1157">
            <v>0</v>
          </cell>
        </row>
        <row r="1158">
          <cell r="C1158" t="str">
            <v>TEKİRDAĞ</v>
          </cell>
          <cell r="D1158" t="str">
            <v>MARMARAEREĞLİSİ</v>
          </cell>
          <cell r="H1158" t="str">
            <v>Dağıtım-AG</v>
          </cell>
          <cell r="I1158" t="str">
            <v>Uzun</v>
          </cell>
          <cell r="J1158" t="str">
            <v>Şebeke işletmecisi</v>
          </cell>
          <cell r="K1158" t="str">
            <v>Bildirimsiz</v>
          </cell>
          <cell r="O1158">
            <v>0</v>
          </cell>
          <cell r="P1158">
            <v>0</v>
          </cell>
          <cell r="Q1158">
            <v>0</v>
          </cell>
          <cell r="R1158">
            <v>22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1601.2333333049901</v>
          </cell>
          <cell r="Y1158">
            <v>0</v>
          </cell>
          <cell r="Z1158">
            <v>0</v>
          </cell>
        </row>
        <row r="1159">
          <cell r="C1159" t="str">
            <v>KIRKLARELİ</v>
          </cell>
          <cell r="D1159" t="str">
            <v>LÜLEBURGAZ</v>
          </cell>
          <cell r="H1159" t="str">
            <v>Dağıtım-AG</v>
          </cell>
          <cell r="I1159" t="str">
            <v>Uzun</v>
          </cell>
          <cell r="J1159" t="str">
            <v>Şebeke işletmecisi</v>
          </cell>
          <cell r="K1159" t="str">
            <v>Bildirimsiz</v>
          </cell>
          <cell r="O1159">
            <v>0</v>
          </cell>
          <cell r="P1159">
            <v>9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654.60000007180497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</row>
        <row r="1160">
          <cell r="C1160" t="str">
            <v>TEKİRDAĞ</v>
          </cell>
          <cell r="D1160" t="str">
            <v>MARMARAEREĞLİSİ</v>
          </cell>
          <cell r="H1160" t="str">
            <v>Dağıtım-AG</v>
          </cell>
          <cell r="I1160" t="str">
            <v>Uzun</v>
          </cell>
          <cell r="J1160" t="str">
            <v>Şebeke işletmecisi</v>
          </cell>
          <cell r="K1160" t="str">
            <v>Bildirimsiz</v>
          </cell>
          <cell r="O1160">
            <v>0</v>
          </cell>
          <cell r="P1160">
            <v>4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290.80000000074506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</row>
        <row r="1161">
          <cell r="C1161" t="str">
            <v>EDİRNE</v>
          </cell>
          <cell r="D1161" t="str">
            <v>EDİRNEMERKEZ</v>
          </cell>
          <cell r="H1161" t="str">
            <v>Dağıtım-AG</v>
          </cell>
          <cell r="I1161" t="str">
            <v>Uzun</v>
          </cell>
          <cell r="J1161" t="str">
            <v>Şebeke İşletmecisi</v>
          </cell>
          <cell r="K1161" t="str">
            <v>Bildirimsiz</v>
          </cell>
          <cell r="O1161">
            <v>0</v>
          </cell>
          <cell r="P1161">
            <v>47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3402.7999996673316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</row>
        <row r="1162">
          <cell r="C1162" t="str">
            <v>KIRKLARELİ</v>
          </cell>
          <cell r="D1162" t="str">
            <v>KIRKLARELİMERKEZ</v>
          </cell>
          <cell r="H1162" t="str">
            <v>Dağıtım-OG</v>
          </cell>
          <cell r="I1162" t="str">
            <v>Uzun</v>
          </cell>
          <cell r="J1162" t="str">
            <v>Şebeke işletmecisi</v>
          </cell>
          <cell r="K1162" t="str">
            <v>Bildirimli</v>
          </cell>
          <cell r="O1162">
            <v>0</v>
          </cell>
          <cell r="P1162">
            <v>224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16213.866666555405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</row>
        <row r="1163">
          <cell r="C1163" t="str">
            <v>EDİRNE</v>
          </cell>
          <cell r="D1163" t="str">
            <v>HAVSA</v>
          </cell>
          <cell r="H1163" t="str">
            <v>Dağıtım-AG</v>
          </cell>
          <cell r="I1163" t="str">
            <v>Uzun</v>
          </cell>
          <cell r="J1163" t="str">
            <v>Şebeke işletmecisi</v>
          </cell>
          <cell r="K1163" t="str">
            <v>Bildirimsiz</v>
          </cell>
          <cell r="O1163">
            <v>0</v>
          </cell>
          <cell r="P1163">
            <v>22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1592.0666668005288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</row>
        <row r="1164">
          <cell r="C1164" t="str">
            <v>EDİRNE</v>
          </cell>
          <cell r="D1164" t="str">
            <v>KEŞAN</v>
          </cell>
          <cell r="H1164" t="str">
            <v>Dağıtım-AG</v>
          </cell>
          <cell r="I1164" t="str">
            <v>Uzun</v>
          </cell>
          <cell r="J1164" t="str">
            <v>Şebeke işletmecisi</v>
          </cell>
          <cell r="K1164" t="str">
            <v>Bildirimsiz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2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144.63333332212642</v>
          </cell>
        </row>
        <row r="1165">
          <cell r="C1165" t="str">
            <v>EDİRNE</v>
          </cell>
          <cell r="D1165" t="str">
            <v>İPSALA</v>
          </cell>
          <cell r="H1165" t="str">
            <v>Dağıtım-OG</v>
          </cell>
          <cell r="I1165" t="str">
            <v>Uzun</v>
          </cell>
          <cell r="J1165" t="str">
            <v>Şebeke işletmecisi</v>
          </cell>
          <cell r="K1165" t="str">
            <v>Bildirimsiz</v>
          </cell>
          <cell r="O1165">
            <v>0</v>
          </cell>
          <cell r="P1165">
            <v>0</v>
          </cell>
          <cell r="Q1165">
            <v>1</v>
          </cell>
          <cell r="R1165">
            <v>0</v>
          </cell>
          <cell r="S1165">
            <v>31</v>
          </cell>
          <cell r="T1165">
            <v>1</v>
          </cell>
          <cell r="U1165">
            <v>0</v>
          </cell>
          <cell r="V1165">
            <v>0</v>
          </cell>
          <cell r="W1165">
            <v>72.300000000977889</v>
          </cell>
          <cell r="X1165">
            <v>0</v>
          </cell>
          <cell r="Y1165">
            <v>2241.3000000303145</v>
          </cell>
          <cell r="Z1165">
            <v>72.300000000977889</v>
          </cell>
        </row>
        <row r="1166">
          <cell r="C1166" t="str">
            <v>TEKİRDAĞ</v>
          </cell>
          <cell r="D1166" t="str">
            <v>MALKARA</v>
          </cell>
          <cell r="H1166" t="str">
            <v>Dağıtım-AG</v>
          </cell>
          <cell r="I1166" t="str">
            <v>Uzun</v>
          </cell>
          <cell r="J1166" t="str">
            <v>Şebeke işletmecisi</v>
          </cell>
          <cell r="K1166" t="str">
            <v>Bildirimsiz</v>
          </cell>
          <cell r="O1166">
            <v>0</v>
          </cell>
          <cell r="P1166">
            <v>1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72.19999999855645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7">
          <cell r="C1167" t="str">
            <v>KIRKLARELİ</v>
          </cell>
          <cell r="D1167" t="str">
            <v>LÜLEBURGAZ</v>
          </cell>
          <cell r="H1167" t="str">
            <v>Dağıtım-OG</v>
          </cell>
          <cell r="I1167" t="str">
            <v>Uzun</v>
          </cell>
          <cell r="J1167" t="str">
            <v>Şebeke işletmecisi</v>
          </cell>
          <cell r="K1167" t="str">
            <v>Bildirimsiz</v>
          </cell>
          <cell r="O1167">
            <v>1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72.149999997345731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</row>
        <row r="1168">
          <cell r="C1168" t="str">
            <v>TEKİRDAĞ</v>
          </cell>
          <cell r="D1168" t="str">
            <v>ERGENE</v>
          </cell>
          <cell r="H1168" t="str">
            <v>Dağıtım-AG</v>
          </cell>
          <cell r="I1168" t="str">
            <v>Uzun</v>
          </cell>
          <cell r="J1168" t="str">
            <v>Şebeke işletmecisi</v>
          </cell>
          <cell r="K1168" t="str">
            <v>Bildirimsiz</v>
          </cell>
          <cell r="O1168">
            <v>0</v>
          </cell>
          <cell r="P1168">
            <v>202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14564.200001335703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</row>
        <row r="1169">
          <cell r="C1169" t="str">
            <v>KIRKLARELİ</v>
          </cell>
          <cell r="D1169" t="str">
            <v>LÜLEBURGAZ</v>
          </cell>
          <cell r="H1169" t="str">
            <v>Dağıtım-AG</v>
          </cell>
          <cell r="I1169" t="str">
            <v>Uzun</v>
          </cell>
          <cell r="J1169" t="str">
            <v>Şebeke işletmecisi</v>
          </cell>
          <cell r="K1169" t="str">
            <v>Bildirimsiz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14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1009.3999999458902</v>
          </cell>
        </row>
        <row r="1170">
          <cell r="C1170" t="str">
            <v>EDİRNE</v>
          </cell>
          <cell r="D1170" t="str">
            <v>UZUNKÖPRÜ</v>
          </cell>
          <cell r="H1170" t="str">
            <v>Dağıtım-OG</v>
          </cell>
          <cell r="I1170" t="str">
            <v>Uzun</v>
          </cell>
          <cell r="J1170" t="str">
            <v>Şebeke işletmecisi</v>
          </cell>
          <cell r="K1170" t="str">
            <v>Bildirimsiz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1</v>
          </cell>
          <cell r="T1170">
            <v>187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72.016666664276272</v>
          </cell>
          <cell r="Z1170">
            <v>13467.116666219663</v>
          </cell>
        </row>
        <row r="1171">
          <cell r="C1171" t="str">
            <v>KIRKLARELİ</v>
          </cell>
          <cell r="D1171" t="str">
            <v>LÜLEBURGAZ</v>
          </cell>
          <cell r="H1171" t="str">
            <v>Dağıtım-AG</v>
          </cell>
          <cell r="I1171" t="str">
            <v>Uzun</v>
          </cell>
          <cell r="J1171" t="str">
            <v>Şebeke işletmecisi</v>
          </cell>
          <cell r="K1171" t="str">
            <v>Bildirimsiz</v>
          </cell>
          <cell r="O1171">
            <v>0</v>
          </cell>
          <cell r="P1171">
            <v>0</v>
          </cell>
          <cell r="Q1171">
            <v>0</v>
          </cell>
          <cell r="R1171">
            <v>1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71.833333340473473</v>
          </cell>
          <cell r="Y1171">
            <v>0</v>
          </cell>
          <cell r="Z1171">
            <v>0</v>
          </cell>
        </row>
        <row r="1172">
          <cell r="C1172" t="str">
            <v>TEKİRDAĞ</v>
          </cell>
          <cell r="D1172" t="str">
            <v>MARMARAEREĞLİSİ</v>
          </cell>
          <cell r="H1172" t="str">
            <v>Dağıtım-AG</v>
          </cell>
          <cell r="I1172" t="str">
            <v>Uzun</v>
          </cell>
          <cell r="J1172" t="str">
            <v>Şebeke işletmecisi</v>
          </cell>
          <cell r="K1172" t="str">
            <v>Bildirimli</v>
          </cell>
          <cell r="O1172">
            <v>0</v>
          </cell>
          <cell r="P1172">
            <v>0</v>
          </cell>
          <cell r="Q1172">
            <v>0</v>
          </cell>
          <cell r="R1172">
            <v>117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8400.5999999237247</v>
          </cell>
          <cell r="Y1172">
            <v>0</v>
          </cell>
          <cell r="Z1172">
            <v>0</v>
          </cell>
        </row>
        <row r="1173">
          <cell r="C1173" t="str">
            <v>KIRKLARELİ</v>
          </cell>
          <cell r="D1173" t="str">
            <v>BABAESKİ</v>
          </cell>
          <cell r="H1173" t="str">
            <v>Dağıtım-OG</v>
          </cell>
          <cell r="I1173" t="str">
            <v>Uzun</v>
          </cell>
          <cell r="J1173" t="str">
            <v>Şebeke işletmecisi</v>
          </cell>
          <cell r="K1173" t="str">
            <v>Bildirimsiz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1</v>
          </cell>
          <cell r="T1173">
            <v>255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71.766666668700054</v>
          </cell>
          <cell r="Z1173">
            <v>18300.500000518514</v>
          </cell>
        </row>
        <row r="1174">
          <cell r="C1174" t="str">
            <v>EDİRNE</v>
          </cell>
          <cell r="D1174" t="str">
            <v>UZUNKÖPRÜ</v>
          </cell>
          <cell r="H1174" t="str">
            <v>Dağıtım-OG</v>
          </cell>
          <cell r="I1174" t="str">
            <v>Uzun</v>
          </cell>
          <cell r="J1174" t="str">
            <v>Şebeke İşletmecisi</v>
          </cell>
          <cell r="K1174" t="str">
            <v>Bildirimsiz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126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9032.1000004420057</v>
          </cell>
        </row>
        <row r="1175">
          <cell r="C1175" t="str">
            <v>KIRKLARELİ</v>
          </cell>
          <cell r="D1175" t="str">
            <v>LÜLEBURGAZ</v>
          </cell>
          <cell r="H1175" t="str">
            <v>Dağıtım-AG</v>
          </cell>
          <cell r="I1175" t="str">
            <v>Uzun</v>
          </cell>
          <cell r="J1175" t="str">
            <v>Şebeke işletmecisi</v>
          </cell>
          <cell r="K1175" t="str">
            <v>Bildirimsiz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42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3007.1999997692183</v>
          </cell>
        </row>
        <row r="1176">
          <cell r="C1176" t="str">
            <v>TEKİRDAĞ</v>
          </cell>
          <cell r="D1176" t="str">
            <v>ERGENE</v>
          </cell>
          <cell r="H1176" t="str">
            <v>Dağıtım-AG</v>
          </cell>
          <cell r="I1176" t="str">
            <v>Uzun</v>
          </cell>
          <cell r="J1176" t="str">
            <v>Şebeke işletmecisi</v>
          </cell>
          <cell r="K1176" t="str">
            <v>Bildirimsiz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8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572.53333331085742</v>
          </cell>
        </row>
        <row r="1177">
          <cell r="C1177" t="str">
            <v>TEKİRDAĞ</v>
          </cell>
          <cell r="D1177" t="str">
            <v>MARMARAEREĞLİSİ</v>
          </cell>
          <cell r="H1177" t="str">
            <v>Dağıtım-AG</v>
          </cell>
          <cell r="I1177" t="str">
            <v>Uzun</v>
          </cell>
          <cell r="J1177" t="str">
            <v>Şebeke işletmecisi</v>
          </cell>
          <cell r="K1177" t="str">
            <v>Bildirimsiz</v>
          </cell>
          <cell r="O1177">
            <v>0</v>
          </cell>
          <cell r="P1177">
            <v>0</v>
          </cell>
          <cell r="Q1177">
            <v>0</v>
          </cell>
          <cell r="R1177">
            <v>26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1859.8666666634381</v>
          </cell>
          <cell r="Y1177">
            <v>0</v>
          </cell>
          <cell r="Z1177">
            <v>0</v>
          </cell>
        </row>
        <row r="1178">
          <cell r="C1178" t="str">
            <v>KIRKLARELİ</v>
          </cell>
          <cell r="D1178" t="str">
            <v>BABAESKİ</v>
          </cell>
          <cell r="H1178" t="str">
            <v>Dağıtım-OG</v>
          </cell>
          <cell r="I1178" t="str">
            <v>Uzun</v>
          </cell>
          <cell r="J1178" t="str">
            <v>Şebeke işletmecisi</v>
          </cell>
          <cell r="K1178" t="str">
            <v>Bildirimli</v>
          </cell>
          <cell r="O1178">
            <v>0</v>
          </cell>
          <cell r="P1178">
            <v>1</v>
          </cell>
          <cell r="Q1178">
            <v>0</v>
          </cell>
          <cell r="R1178">
            <v>237</v>
          </cell>
          <cell r="S1178">
            <v>0</v>
          </cell>
          <cell r="T1178">
            <v>0</v>
          </cell>
          <cell r="U1178">
            <v>0</v>
          </cell>
          <cell r="V1178">
            <v>71.533333333209157</v>
          </cell>
          <cell r="W1178">
            <v>0</v>
          </cell>
          <cell r="X1178">
            <v>16953.39999997057</v>
          </cell>
          <cell r="Y1178">
            <v>0</v>
          </cell>
          <cell r="Z1178">
            <v>0</v>
          </cell>
        </row>
        <row r="1179">
          <cell r="C1179" t="str">
            <v>TEKİRDAĞ</v>
          </cell>
          <cell r="D1179" t="str">
            <v>MARMARAEREĞLİSİ</v>
          </cell>
          <cell r="H1179" t="str">
            <v>Dağıtım-AG</v>
          </cell>
          <cell r="I1179" t="str">
            <v>Uzun</v>
          </cell>
          <cell r="J1179" t="str">
            <v>Şebeke İşletmecisi</v>
          </cell>
          <cell r="K1179" t="str">
            <v>Bildirimsiz</v>
          </cell>
          <cell r="O1179">
            <v>0</v>
          </cell>
          <cell r="P1179">
            <v>0</v>
          </cell>
          <cell r="Q1179">
            <v>0</v>
          </cell>
          <cell r="R1179">
            <v>114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8147.1999994036742</v>
          </cell>
          <cell r="Y1179">
            <v>0</v>
          </cell>
          <cell r="Z1179">
            <v>0</v>
          </cell>
        </row>
        <row r="1180">
          <cell r="C1180" t="str">
            <v>KIRKLARELİ</v>
          </cell>
          <cell r="D1180" t="str">
            <v>KIRKLARELİMERKEZ</v>
          </cell>
          <cell r="H1180" t="str">
            <v>Dağıtım-OG</v>
          </cell>
          <cell r="I1180" t="str">
            <v>Uzun</v>
          </cell>
          <cell r="J1180" t="str">
            <v>Şebeke İşletmecisi</v>
          </cell>
          <cell r="K1180" t="str">
            <v>Bildirimsiz</v>
          </cell>
          <cell r="O1180">
            <v>1</v>
          </cell>
          <cell r="P1180">
            <v>4562</v>
          </cell>
          <cell r="Q1180">
            <v>0</v>
          </cell>
          <cell r="R1180">
            <v>4</v>
          </cell>
          <cell r="S1180">
            <v>0</v>
          </cell>
          <cell r="T1180">
            <v>9</v>
          </cell>
          <cell r="U1180">
            <v>71.283333337632939</v>
          </cell>
          <cell r="V1180">
            <v>325194.56668628147</v>
          </cell>
          <cell r="W1180">
            <v>0</v>
          </cell>
          <cell r="X1180">
            <v>285.13333335053176</v>
          </cell>
          <cell r="Y1180">
            <v>0</v>
          </cell>
          <cell r="Z1180">
            <v>641.55000003869645</v>
          </cell>
        </row>
        <row r="1181">
          <cell r="C1181" t="str">
            <v>TEKİRDAĞ</v>
          </cell>
          <cell r="D1181" t="str">
            <v>MARMARAEREĞLİSİ</v>
          </cell>
          <cell r="H1181" t="str">
            <v>Dağıtım-AG</v>
          </cell>
          <cell r="I1181" t="str">
            <v>Uzun</v>
          </cell>
          <cell r="J1181" t="str">
            <v>Şebeke işletmecisi</v>
          </cell>
          <cell r="K1181" t="str">
            <v>Bildirimsiz</v>
          </cell>
          <cell r="O1181">
            <v>0</v>
          </cell>
          <cell r="P1181">
            <v>0</v>
          </cell>
          <cell r="Q1181">
            <v>0</v>
          </cell>
          <cell r="R1181">
            <v>35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2494.3333329807501</v>
          </cell>
          <cell r="Y1181">
            <v>0</v>
          </cell>
          <cell r="Z1181">
            <v>0</v>
          </cell>
        </row>
        <row r="1182">
          <cell r="C1182" t="str">
            <v>TEKİRDAĞ</v>
          </cell>
          <cell r="D1182" t="str">
            <v>KAPAKLI</v>
          </cell>
          <cell r="H1182" t="str">
            <v>Dağıtım-OG</v>
          </cell>
          <cell r="I1182" t="str">
            <v>Uzun</v>
          </cell>
          <cell r="J1182" t="str">
            <v>Şebeke işletmecisi</v>
          </cell>
          <cell r="K1182" t="str">
            <v>Bildirimsiz</v>
          </cell>
          <cell r="O1182">
            <v>3</v>
          </cell>
          <cell r="P1182">
            <v>218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213.45000001369044</v>
          </cell>
          <cell r="V1182">
            <v>15510.700000994839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C1183" t="str">
            <v>EDİRNE</v>
          </cell>
          <cell r="D1183" t="str">
            <v>UZUNKÖPRÜ</v>
          </cell>
          <cell r="H1183" t="str">
            <v>Dağıtım-AG</v>
          </cell>
          <cell r="I1183" t="str">
            <v>Uzun</v>
          </cell>
          <cell r="J1183" t="str">
            <v>Şebeke işletmecisi</v>
          </cell>
          <cell r="K1183" t="str">
            <v>Bildirimsiz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126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8956.4999999315478</v>
          </cell>
        </row>
        <row r="1184">
          <cell r="C1184" t="str">
            <v>EDİRNE</v>
          </cell>
          <cell r="D1184" t="str">
            <v>EDİRNEMERKEZ</v>
          </cell>
          <cell r="H1184" t="str">
            <v>Dağıtım-AG</v>
          </cell>
          <cell r="I1184" t="str">
            <v>Uzun</v>
          </cell>
          <cell r="J1184" t="str">
            <v>Şebeke işletmecisi</v>
          </cell>
          <cell r="K1184" t="str">
            <v>Bildirimsiz</v>
          </cell>
          <cell r="O1184">
            <v>0</v>
          </cell>
          <cell r="P1184">
            <v>7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497.11666670045815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</row>
        <row r="1185">
          <cell r="C1185" t="str">
            <v>EDİRNE</v>
          </cell>
          <cell r="D1185" t="str">
            <v>KEŞAN</v>
          </cell>
          <cell r="H1185" t="str">
            <v>Dağıtım-AG</v>
          </cell>
          <cell r="I1185" t="str">
            <v>Uzun</v>
          </cell>
          <cell r="J1185" t="str">
            <v>Şebeke işletmecisi</v>
          </cell>
          <cell r="K1185" t="str">
            <v>Bildirimsiz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8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568.00000000745058</v>
          </cell>
        </row>
        <row r="1186">
          <cell r="C1186" t="str">
            <v>EDİRNE</v>
          </cell>
          <cell r="D1186" t="str">
            <v>EDİRNEMERKEZ</v>
          </cell>
          <cell r="H1186" t="str">
            <v>Dağıtım-OG</v>
          </cell>
          <cell r="I1186" t="str">
            <v>Uzun</v>
          </cell>
          <cell r="J1186" t="str">
            <v>Şebeke işletmecisi</v>
          </cell>
          <cell r="K1186" t="str">
            <v>Bildirimsiz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1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71.000000000931323</v>
          </cell>
          <cell r="Z1186">
            <v>0</v>
          </cell>
        </row>
        <row r="1187">
          <cell r="C1187" t="str">
            <v>TEKİRDAĞ</v>
          </cell>
          <cell r="D1187" t="str">
            <v>SÜLEYMANPAŞA</v>
          </cell>
          <cell r="H1187" t="str">
            <v>Dağıtım-AG</v>
          </cell>
          <cell r="I1187" t="str">
            <v>Uzun</v>
          </cell>
          <cell r="J1187" t="str">
            <v>Şebeke işletmecisi</v>
          </cell>
          <cell r="K1187" t="str">
            <v>Bildirimsiz</v>
          </cell>
          <cell r="O1187">
            <v>0</v>
          </cell>
          <cell r="P1187">
            <v>13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922.7833332947921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C1188" t="str">
            <v>KIRKLARELİ</v>
          </cell>
          <cell r="D1188" t="str">
            <v>VİZE</v>
          </cell>
          <cell r="H1188" t="str">
            <v>Dağıtım-AG</v>
          </cell>
          <cell r="I1188" t="str">
            <v>Uzun</v>
          </cell>
          <cell r="J1188" t="str">
            <v>Şebeke işletmecisi</v>
          </cell>
          <cell r="K1188" t="str">
            <v>Bildirimsiz</v>
          </cell>
          <cell r="O1188">
            <v>0</v>
          </cell>
          <cell r="P1188">
            <v>0</v>
          </cell>
          <cell r="Q1188">
            <v>0</v>
          </cell>
          <cell r="R1188">
            <v>61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4328.9666662481613</v>
          </cell>
          <cell r="Y1188">
            <v>0</v>
          </cell>
          <cell r="Z1188">
            <v>0</v>
          </cell>
        </row>
        <row r="1189">
          <cell r="C1189" t="str">
            <v>KIRKLARELİ</v>
          </cell>
          <cell r="D1189" t="str">
            <v>DEMİRKÖY</v>
          </cell>
          <cell r="H1189" t="str">
            <v>Dağıtım-AG</v>
          </cell>
          <cell r="I1189" t="str">
            <v>Uzun</v>
          </cell>
          <cell r="J1189" t="str">
            <v>Şebeke işletmecisi</v>
          </cell>
          <cell r="K1189" t="str">
            <v>Bildirimsiz</v>
          </cell>
          <cell r="O1189">
            <v>0</v>
          </cell>
          <cell r="P1189">
            <v>0</v>
          </cell>
          <cell r="Q1189">
            <v>0</v>
          </cell>
          <cell r="R1189">
            <v>5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354.66666669817641</v>
          </cell>
          <cell r="Y1189">
            <v>0</v>
          </cell>
          <cell r="Z1189">
            <v>0</v>
          </cell>
        </row>
        <row r="1190">
          <cell r="C1190" t="str">
            <v>EDİRNE</v>
          </cell>
          <cell r="D1190" t="str">
            <v>UZUNKÖPRÜ</v>
          </cell>
          <cell r="H1190" t="str">
            <v>Dağıtım-AG</v>
          </cell>
          <cell r="I1190" t="str">
            <v>Uzun</v>
          </cell>
          <cell r="J1190" t="str">
            <v>Şebeke işletmecisi</v>
          </cell>
          <cell r="K1190" t="str">
            <v>Bildirimsiz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111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7873.6000006995164</v>
          </cell>
        </row>
        <row r="1191">
          <cell r="C1191" t="str">
            <v>KIRKLARELİ</v>
          </cell>
          <cell r="D1191" t="str">
            <v>KIRKLARELİMERKEZ</v>
          </cell>
          <cell r="H1191" t="str">
            <v>Dağıtım-AG</v>
          </cell>
          <cell r="I1191" t="str">
            <v>Uzun</v>
          </cell>
          <cell r="J1191" t="str">
            <v>Şebeke işletmecisi</v>
          </cell>
          <cell r="K1191" t="str">
            <v>Bildirimsiz</v>
          </cell>
          <cell r="O1191">
            <v>0</v>
          </cell>
          <cell r="P1191">
            <v>12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850.19999996758997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C1192" t="str">
            <v>TEKİRDAĞ</v>
          </cell>
          <cell r="D1192" t="str">
            <v>SÜLEYMANPAŞA</v>
          </cell>
          <cell r="H1192" t="str">
            <v>Dağıtım-AG</v>
          </cell>
          <cell r="I1192" t="str">
            <v>Uzun</v>
          </cell>
          <cell r="J1192" t="str">
            <v>Şebeke işletmecisi</v>
          </cell>
          <cell r="K1192" t="str">
            <v>Bildirimsiz</v>
          </cell>
          <cell r="O1192">
            <v>0</v>
          </cell>
          <cell r="P1192">
            <v>10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707.16666664229706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C1193" t="str">
            <v>TEKİRDAĞ</v>
          </cell>
          <cell r="D1193" t="str">
            <v>MALKARA</v>
          </cell>
          <cell r="H1193" t="str">
            <v>Dağıtım-AG</v>
          </cell>
          <cell r="I1193" t="str">
            <v>Uzun</v>
          </cell>
          <cell r="J1193" t="str">
            <v>Şebeke işletmecisi</v>
          </cell>
          <cell r="K1193" t="str">
            <v>Bildirimsiz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4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282.33333332464099</v>
          </cell>
        </row>
        <row r="1194">
          <cell r="C1194" t="str">
            <v>EDİRNE</v>
          </cell>
          <cell r="D1194" t="str">
            <v>KEŞAN</v>
          </cell>
          <cell r="H1194" t="str">
            <v>Dağıtım-AG</v>
          </cell>
          <cell r="I1194" t="str">
            <v>Uzun</v>
          </cell>
          <cell r="J1194" t="str">
            <v>Şebeke işletmecisi</v>
          </cell>
          <cell r="K1194" t="str">
            <v>Bildirimsiz</v>
          </cell>
          <cell r="O1194">
            <v>0</v>
          </cell>
          <cell r="P1194">
            <v>3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211.59999998984858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</row>
        <row r="1195">
          <cell r="C1195" t="str">
            <v>TEKİRDAĞ</v>
          </cell>
          <cell r="D1195" t="str">
            <v>HAYRABOLU</v>
          </cell>
          <cell r="H1195" t="str">
            <v>Dağıtım-AG</v>
          </cell>
          <cell r="I1195" t="str">
            <v>Uzun</v>
          </cell>
          <cell r="J1195" t="str">
            <v>Şebeke işletmecisi</v>
          </cell>
          <cell r="K1195" t="str">
            <v>Bildirimsiz</v>
          </cell>
          <cell r="O1195">
            <v>0</v>
          </cell>
          <cell r="P1195">
            <v>0</v>
          </cell>
          <cell r="Q1195">
            <v>0</v>
          </cell>
          <cell r="R1195">
            <v>11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775.86666662944481</v>
          </cell>
          <cell r="Y1195">
            <v>0</v>
          </cell>
          <cell r="Z1195">
            <v>0</v>
          </cell>
        </row>
        <row r="1196">
          <cell r="C1196" t="str">
            <v>TEKİRDAĞ</v>
          </cell>
          <cell r="D1196" t="str">
            <v>ÇERKEZKÖY</v>
          </cell>
          <cell r="H1196" t="str">
            <v>Dağıtım-OG</v>
          </cell>
          <cell r="I1196" t="str">
            <v>Uzun</v>
          </cell>
          <cell r="J1196" t="str">
            <v>Şebeke işletmecisi</v>
          </cell>
          <cell r="K1196" t="str">
            <v>Bildirimli</v>
          </cell>
          <cell r="O1196">
            <v>0</v>
          </cell>
          <cell r="P1196">
            <v>522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36800.999999635387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C1197" t="str">
            <v>TEKİRDAĞ</v>
          </cell>
          <cell r="D1197" t="str">
            <v>MARMARAEREĞLİSİ</v>
          </cell>
          <cell r="H1197" t="str">
            <v>Dağıtım-OG</v>
          </cell>
          <cell r="I1197" t="str">
            <v>Uzun</v>
          </cell>
          <cell r="J1197" t="str">
            <v>Şebeke işletmecisi</v>
          </cell>
          <cell r="K1197" t="str">
            <v>Bildirimsiz</v>
          </cell>
          <cell r="O1197">
            <v>0</v>
          </cell>
          <cell r="P1197">
            <v>1</v>
          </cell>
          <cell r="Q1197">
            <v>0</v>
          </cell>
          <cell r="R1197">
            <v>186</v>
          </cell>
          <cell r="S1197">
            <v>0</v>
          </cell>
          <cell r="T1197">
            <v>0</v>
          </cell>
          <cell r="U1197">
            <v>0</v>
          </cell>
          <cell r="V1197">
            <v>70.499999999301508</v>
          </cell>
          <cell r="W1197">
            <v>0</v>
          </cell>
          <cell r="X1197">
            <v>13112.999999870081</v>
          </cell>
          <cell r="Y1197">
            <v>0</v>
          </cell>
          <cell r="Z1197">
            <v>0</v>
          </cell>
        </row>
        <row r="1198">
          <cell r="C1198" t="str">
            <v>TEKİRDAĞ</v>
          </cell>
          <cell r="D1198" t="str">
            <v>SÜLEYMANPAŞA</v>
          </cell>
          <cell r="H1198" t="str">
            <v>Dağıtım-OG</v>
          </cell>
          <cell r="I1198" t="str">
            <v>Uzun</v>
          </cell>
          <cell r="J1198" t="str">
            <v>Şebeke işletmecisi</v>
          </cell>
          <cell r="K1198" t="str">
            <v>Bildirimli</v>
          </cell>
          <cell r="O1198">
            <v>2</v>
          </cell>
          <cell r="P1198">
            <v>1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140.96666665747762</v>
          </cell>
          <cell r="V1198">
            <v>70.483333328738809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199">
          <cell r="C1199" t="str">
            <v>EDİRNE</v>
          </cell>
          <cell r="D1199" t="str">
            <v>EDİRNEMERKEZ</v>
          </cell>
          <cell r="H1199" t="str">
            <v>Dağıtım-OG</v>
          </cell>
          <cell r="I1199" t="str">
            <v>Uzun</v>
          </cell>
          <cell r="J1199" t="str">
            <v>Şebeke işletmecisi</v>
          </cell>
          <cell r="K1199" t="str">
            <v>Bildirimsiz</v>
          </cell>
          <cell r="O1199">
            <v>6</v>
          </cell>
          <cell r="P1199">
            <v>3062</v>
          </cell>
          <cell r="Q1199">
            <v>0</v>
          </cell>
          <cell r="R1199">
            <v>0</v>
          </cell>
          <cell r="S1199">
            <v>2</v>
          </cell>
          <cell r="T1199">
            <v>1</v>
          </cell>
          <cell r="U1199">
            <v>422.59999996516854</v>
          </cell>
          <cell r="V1199">
            <v>215666.86664889101</v>
          </cell>
          <cell r="W1199">
            <v>0</v>
          </cell>
          <cell r="X1199">
            <v>0</v>
          </cell>
          <cell r="Y1199">
            <v>140.86666665505618</v>
          </cell>
          <cell r="Z1199">
            <v>70.433333327528089</v>
          </cell>
        </row>
        <row r="1200">
          <cell r="C1200" t="str">
            <v>TEKİRDAĞ</v>
          </cell>
          <cell r="D1200" t="str">
            <v>ŞARKÖY</v>
          </cell>
          <cell r="H1200" t="str">
            <v>Dağıtım-AG</v>
          </cell>
          <cell r="I1200" t="str">
            <v>Uzun</v>
          </cell>
          <cell r="J1200" t="str">
            <v>Şebeke işletmecisi</v>
          </cell>
          <cell r="K1200" t="str">
            <v>Bildirimsiz</v>
          </cell>
          <cell r="O1200">
            <v>0</v>
          </cell>
          <cell r="P1200">
            <v>0</v>
          </cell>
          <cell r="Q1200">
            <v>0</v>
          </cell>
          <cell r="R1200">
            <v>15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1055.999999953201</v>
          </cell>
          <cell r="Y1200">
            <v>0</v>
          </cell>
          <cell r="Z1200">
            <v>0</v>
          </cell>
        </row>
        <row r="1201">
          <cell r="C1201" t="str">
            <v>EDİRNE</v>
          </cell>
          <cell r="D1201" t="str">
            <v>KEŞAN</v>
          </cell>
          <cell r="H1201" t="str">
            <v>Dağıtım-AG</v>
          </cell>
          <cell r="I1201" t="str">
            <v>Uzun</v>
          </cell>
          <cell r="J1201" t="str">
            <v>Şebeke işletmecisi</v>
          </cell>
          <cell r="K1201" t="str">
            <v>Bildirimsiz</v>
          </cell>
          <cell r="O1201">
            <v>0</v>
          </cell>
          <cell r="P1201">
            <v>1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70.33333333558403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C1202" t="str">
            <v>EDİRNE</v>
          </cell>
          <cell r="D1202" t="str">
            <v>İPSALA</v>
          </cell>
          <cell r="H1202" t="str">
            <v>Dağıtım-AG</v>
          </cell>
          <cell r="I1202" t="str">
            <v>Uzun</v>
          </cell>
          <cell r="J1202" t="str">
            <v>Şebeke işletmecisi</v>
          </cell>
          <cell r="K1202" t="str">
            <v>Bildirimsiz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8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562.40000003948808</v>
          </cell>
        </row>
        <row r="1203">
          <cell r="C1203" t="str">
            <v>KIRKLARELİ</v>
          </cell>
          <cell r="D1203" t="str">
            <v>KOFÇAZ</v>
          </cell>
          <cell r="H1203" t="str">
            <v>Dağıtım-OG</v>
          </cell>
          <cell r="I1203" t="str">
            <v>Uzun</v>
          </cell>
          <cell r="J1203" t="str">
            <v>Şebeke işletmecisi</v>
          </cell>
          <cell r="K1203" t="str">
            <v>Bildirimsiz</v>
          </cell>
          <cell r="O1203">
            <v>0</v>
          </cell>
          <cell r="P1203">
            <v>0</v>
          </cell>
          <cell r="Q1203">
            <v>0</v>
          </cell>
          <cell r="R1203">
            <v>166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11664.266666192561</v>
          </cell>
          <cell r="Y1203">
            <v>0</v>
          </cell>
          <cell r="Z1203">
            <v>0</v>
          </cell>
        </row>
        <row r="1204">
          <cell r="C1204" t="str">
            <v>KIRKLARELİ</v>
          </cell>
          <cell r="D1204" t="str">
            <v>LÜLEBURGAZ</v>
          </cell>
          <cell r="H1204" t="str">
            <v>Dağıtım-AG</v>
          </cell>
          <cell r="I1204" t="str">
            <v>Uzun</v>
          </cell>
          <cell r="J1204" t="str">
            <v>Şebeke işletmecisi</v>
          </cell>
          <cell r="K1204" t="str">
            <v>Bildirimsiz</v>
          </cell>
          <cell r="O1204">
            <v>0</v>
          </cell>
          <cell r="P1204">
            <v>1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70.233333333162591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</row>
        <row r="1205">
          <cell r="C1205" t="str">
            <v>EDİRNE</v>
          </cell>
          <cell r="D1205" t="str">
            <v>MERİÇ</v>
          </cell>
          <cell r="H1205" t="str">
            <v>Dağıtım-AG</v>
          </cell>
          <cell r="I1205" t="str">
            <v>Uzun</v>
          </cell>
          <cell r="J1205" t="str">
            <v>Şebeke işletmecisi</v>
          </cell>
          <cell r="K1205" t="str">
            <v>Bildirimsiz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34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2387.3666668846272</v>
          </cell>
        </row>
        <row r="1206">
          <cell r="C1206" t="str">
            <v>EDİRNE</v>
          </cell>
          <cell r="D1206" t="str">
            <v>KEŞAN</v>
          </cell>
          <cell r="H1206" t="str">
            <v>Dağıtım-AG</v>
          </cell>
          <cell r="I1206" t="str">
            <v>Uzun</v>
          </cell>
          <cell r="J1206" t="str">
            <v>Şebeke işletmecisi</v>
          </cell>
          <cell r="K1206" t="str">
            <v>Bildirimsiz</v>
          </cell>
          <cell r="O1206">
            <v>0</v>
          </cell>
          <cell r="P1206">
            <v>5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351.00000001257285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C1207" t="str">
            <v>TEKİRDAĞ</v>
          </cell>
          <cell r="D1207" t="str">
            <v>HAYRABOLU</v>
          </cell>
          <cell r="H1207" t="str">
            <v>Dağıtım-OG</v>
          </cell>
          <cell r="I1207" t="str">
            <v>Uzun</v>
          </cell>
          <cell r="J1207" t="str">
            <v>Şebeke işletmecisi</v>
          </cell>
          <cell r="K1207" t="str">
            <v>Bildirimli</v>
          </cell>
          <cell r="O1207">
            <v>0</v>
          </cell>
          <cell r="P1207">
            <v>0</v>
          </cell>
          <cell r="Q1207">
            <v>0</v>
          </cell>
          <cell r="R1207">
            <v>1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70.183333331951872</v>
          </cell>
          <cell r="Y1207">
            <v>0</v>
          </cell>
          <cell r="Z1207">
            <v>0</v>
          </cell>
        </row>
        <row r="1208">
          <cell r="C1208" t="str">
            <v>KIRKLARELİ</v>
          </cell>
          <cell r="D1208" t="str">
            <v>KIRKLARELİMERKEZ</v>
          </cell>
          <cell r="H1208" t="str">
            <v>Dağıtım-OG</v>
          </cell>
          <cell r="I1208" t="str">
            <v>Uzun</v>
          </cell>
          <cell r="J1208" t="str">
            <v>Şebeke işletmecisi</v>
          </cell>
          <cell r="K1208" t="str">
            <v>Bildirimli</v>
          </cell>
          <cell r="O1208">
            <v>0</v>
          </cell>
          <cell r="P1208">
            <v>119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8343.8833325612359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09">
          <cell r="C1209" t="str">
            <v>KIRKLARELİ</v>
          </cell>
          <cell r="D1209" t="str">
            <v>KIRKLARELİMERKEZ</v>
          </cell>
          <cell r="H1209" t="str">
            <v>Dağıtım-OG</v>
          </cell>
          <cell r="I1209" t="str">
            <v>Uzun</v>
          </cell>
          <cell r="J1209" t="str">
            <v>Şebeke işletmecisi</v>
          </cell>
          <cell r="K1209" t="str">
            <v>Bildirimsiz</v>
          </cell>
          <cell r="O1209">
            <v>1</v>
          </cell>
          <cell r="P1209">
            <v>0</v>
          </cell>
          <cell r="Q1209">
            <v>0</v>
          </cell>
          <cell r="R1209">
            <v>0</v>
          </cell>
          <cell r="S1209">
            <v>26</v>
          </cell>
          <cell r="T1209">
            <v>1645</v>
          </cell>
          <cell r="U1209">
            <v>70.083333329530433</v>
          </cell>
          <cell r="V1209">
            <v>0</v>
          </cell>
          <cell r="W1209">
            <v>0</v>
          </cell>
          <cell r="X1209">
            <v>0</v>
          </cell>
          <cell r="Y1209">
            <v>1822.1666665677913</v>
          </cell>
          <cell r="Z1209">
            <v>115287.08332707756</v>
          </cell>
        </row>
        <row r="1210">
          <cell r="C1210" t="str">
            <v>TEKİRDAĞ</v>
          </cell>
          <cell r="D1210" t="str">
            <v>ÇORLU</v>
          </cell>
          <cell r="H1210" t="str">
            <v>Dağıtım-OG</v>
          </cell>
          <cell r="I1210" t="str">
            <v>Uzun</v>
          </cell>
          <cell r="J1210" t="str">
            <v>Şebeke işletmecisi</v>
          </cell>
          <cell r="K1210" t="str">
            <v>Bildirimli</v>
          </cell>
          <cell r="O1210">
            <v>1</v>
          </cell>
          <cell r="P1210">
            <v>0</v>
          </cell>
          <cell r="Q1210">
            <v>0</v>
          </cell>
          <cell r="R1210">
            <v>0</v>
          </cell>
          <cell r="S1210">
            <v>6</v>
          </cell>
          <cell r="T1210">
            <v>0</v>
          </cell>
          <cell r="U1210">
            <v>70.016666668234393</v>
          </cell>
          <cell r="V1210">
            <v>0</v>
          </cell>
          <cell r="W1210">
            <v>0</v>
          </cell>
          <cell r="X1210">
            <v>0</v>
          </cell>
          <cell r="Y1210">
            <v>420.10000000940636</v>
          </cell>
          <cell r="Z1210">
            <v>0</v>
          </cell>
        </row>
        <row r="1211">
          <cell r="C1211" t="str">
            <v>TEKİRDAĞ</v>
          </cell>
          <cell r="D1211" t="str">
            <v>ERGENE</v>
          </cell>
          <cell r="H1211" t="str">
            <v>Dağıtım-OG</v>
          </cell>
          <cell r="I1211" t="str">
            <v>Uzun</v>
          </cell>
          <cell r="J1211" t="str">
            <v>Şebeke işletmecisi</v>
          </cell>
          <cell r="K1211" t="str">
            <v>Bildirimli</v>
          </cell>
          <cell r="O1211">
            <v>7</v>
          </cell>
          <cell r="P1211">
            <v>27</v>
          </cell>
          <cell r="Q1211">
            <v>0</v>
          </cell>
          <cell r="R1211">
            <v>0</v>
          </cell>
          <cell r="S1211">
            <v>0</v>
          </cell>
          <cell r="T1211">
            <v>1</v>
          </cell>
          <cell r="U1211">
            <v>489.76666666916572</v>
          </cell>
          <cell r="V1211">
            <v>1889.1000000096392</v>
          </cell>
          <cell r="W1211">
            <v>0</v>
          </cell>
          <cell r="X1211">
            <v>0</v>
          </cell>
          <cell r="Y1211">
            <v>0</v>
          </cell>
          <cell r="Z1211">
            <v>69.966666667023674</v>
          </cell>
        </row>
        <row r="1212">
          <cell r="C1212" t="str">
            <v>KIRKLARELİ</v>
          </cell>
          <cell r="D1212" t="str">
            <v>LÜLEBURGAZ</v>
          </cell>
          <cell r="H1212" t="str">
            <v>Dağıtım-AG</v>
          </cell>
          <cell r="I1212" t="str">
            <v>Uzun</v>
          </cell>
          <cell r="J1212" t="str">
            <v>Şebeke işletmecisi</v>
          </cell>
          <cell r="K1212" t="str">
            <v>Bildirimsiz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60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4196.9999997876585</v>
          </cell>
        </row>
        <row r="1213">
          <cell r="C1213" t="str">
            <v>EDİRNE</v>
          </cell>
          <cell r="D1213" t="str">
            <v>KEŞAN</v>
          </cell>
          <cell r="H1213" t="str">
            <v>Dağıtım-AG</v>
          </cell>
          <cell r="I1213" t="str">
            <v>Uzun</v>
          </cell>
          <cell r="J1213" t="str">
            <v>Şebeke işletmecisi</v>
          </cell>
          <cell r="K1213" t="str">
            <v>Bildirimsiz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7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489.53333335462958</v>
          </cell>
        </row>
        <row r="1214">
          <cell r="C1214" t="str">
            <v>EDİRNE</v>
          </cell>
          <cell r="D1214" t="str">
            <v>UZUNKÖPRÜ</v>
          </cell>
          <cell r="H1214" t="str">
            <v>Dağıtım-OG</v>
          </cell>
          <cell r="I1214" t="str">
            <v>Uzun</v>
          </cell>
          <cell r="J1214" t="str">
            <v>Şebeke İşletmecisi</v>
          </cell>
          <cell r="K1214" t="str">
            <v>Bildirimsiz</v>
          </cell>
          <cell r="O1214">
            <v>6</v>
          </cell>
          <cell r="P1214">
            <v>151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419.39999997150153</v>
          </cell>
          <cell r="V1214">
            <v>10554.899999282788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</row>
        <row r="1215">
          <cell r="C1215" t="str">
            <v>EDİRNE</v>
          </cell>
          <cell r="D1215" t="str">
            <v>UZUNKÖPRÜ</v>
          </cell>
          <cell r="H1215" t="str">
            <v>Dağıtım-OG</v>
          </cell>
          <cell r="I1215" t="str">
            <v>Uzun</v>
          </cell>
          <cell r="J1215" t="str">
            <v>Şebeke işletmecisi</v>
          </cell>
          <cell r="K1215" t="str">
            <v>Bildirimsiz</v>
          </cell>
          <cell r="O1215">
            <v>5</v>
          </cell>
          <cell r="P1215">
            <v>0</v>
          </cell>
          <cell r="Q1215">
            <v>0</v>
          </cell>
          <cell r="R1215">
            <v>0</v>
          </cell>
          <cell r="S1215">
            <v>3</v>
          </cell>
          <cell r="T1215">
            <v>0</v>
          </cell>
          <cell r="U1215">
            <v>349.41666662343778</v>
          </cell>
          <cell r="V1215">
            <v>0</v>
          </cell>
          <cell r="W1215">
            <v>0</v>
          </cell>
          <cell r="X1215">
            <v>0</v>
          </cell>
          <cell r="Y1215">
            <v>209.64999997406267</v>
          </cell>
          <cell r="Z1215">
            <v>0</v>
          </cell>
        </row>
        <row r="1216">
          <cell r="C1216" t="str">
            <v>TEKİRDAĞ</v>
          </cell>
          <cell r="D1216" t="str">
            <v>SÜLEYMANPAŞA</v>
          </cell>
          <cell r="H1216" t="str">
            <v>Dağıtım-AG</v>
          </cell>
          <cell r="I1216" t="str">
            <v>Uzun</v>
          </cell>
          <cell r="J1216" t="str">
            <v>Şebeke işletmecisi</v>
          </cell>
          <cell r="K1216" t="str">
            <v>Bildirimsiz</v>
          </cell>
          <cell r="O1216">
            <v>0</v>
          </cell>
          <cell r="P1216">
            <v>25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1746.6666666150559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</row>
        <row r="1217">
          <cell r="C1217" t="str">
            <v>KIRKLARELİ</v>
          </cell>
          <cell r="D1217" t="str">
            <v>LÜLEBURGAZ</v>
          </cell>
          <cell r="H1217" t="str">
            <v>Dağıtım-OG</v>
          </cell>
          <cell r="I1217" t="str">
            <v>Uzun</v>
          </cell>
          <cell r="J1217" t="str">
            <v>Şebeke işletmecisi</v>
          </cell>
          <cell r="K1217" t="str">
            <v>Bildirimsiz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3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209.55000001355074</v>
          </cell>
          <cell r="Z1217">
            <v>0</v>
          </cell>
        </row>
        <row r="1218">
          <cell r="C1218" t="str">
            <v>TEKİRDAĞ</v>
          </cell>
          <cell r="D1218" t="str">
            <v>SÜLEYMANPAŞA</v>
          </cell>
          <cell r="H1218" t="str">
            <v>Dağıtım-AG</v>
          </cell>
          <cell r="I1218" t="str">
            <v>Uzun</v>
          </cell>
          <cell r="J1218" t="str">
            <v>Şebeke işletmecisi</v>
          </cell>
          <cell r="K1218" t="str">
            <v>Bildirimsiz</v>
          </cell>
          <cell r="O1218">
            <v>0</v>
          </cell>
          <cell r="P1218">
            <v>109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7606.383333269041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</row>
        <row r="1219">
          <cell r="C1219" t="str">
            <v>TEKİRDAĞ</v>
          </cell>
          <cell r="D1219" t="str">
            <v>MALKARA</v>
          </cell>
          <cell r="H1219" t="str">
            <v>Dağıtım-AG</v>
          </cell>
          <cell r="I1219" t="str">
            <v>Uzun</v>
          </cell>
          <cell r="J1219" t="str">
            <v>Şebeke işletmecisi</v>
          </cell>
          <cell r="K1219" t="str">
            <v>Bildirimsiz</v>
          </cell>
          <cell r="O1219">
            <v>0</v>
          </cell>
          <cell r="P1219">
            <v>134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9348.7333327322267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</row>
        <row r="1220">
          <cell r="C1220" t="str">
            <v>EDİRNE</v>
          </cell>
          <cell r="D1220" t="str">
            <v>UZUNKÖPRÜ</v>
          </cell>
          <cell r="H1220" t="str">
            <v>Dağıtım-AG</v>
          </cell>
          <cell r="I1220" t="str">
            <v>Uzun</v>
          </cell>
          <cell r="J1220" t="str">
            <v>Şebeke işletmecisi</v>
          </cell>
          <cell r="K1220" t="str">
            <v>Bildirimsiz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92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6415.4666665010154</v>
          </cell>
        </row>
        <row r="1221">
          <cell r="C1221" t="str">
            <v>TEKİRDAĞ</v>
          </cell>
          <cell r="D1221" t="str">
            <v>HAYRABOLU</v>
          </cell>
          <cell r="H1221" t="str">
            <v>Dağıtım-OG</v>
          </cell>
          <cell r="I1221" t="str">
            <v>Uzun</v>
          </cell>
          <cell r="J1221" t="str">
            <v>Şebeke işletmecisi</v>
          </cell>
          <cell r="K1221" t="str">
            <v>Bildirimli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130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9054.4999999576248</v>
          </cell>
        </row>
        <row r="1222">
          <cell r="C1222" t="str">
            <v>KIRKLARELİ</v>
          </cell>
          <cell r="D1222" t="str">
            <v>PINARHİSAR</v>
          </cell>
          <cell r="H1222" t="str">
            <v>Dağıtım-AG</v>
          </cell>
          <cell r="I1222" t="str">
            <v>Uzun</v>
          </cell>
          <cell r="J1222" t="str">
            <v>Şebeke işletmecisi</v>
          </cell>
          <cell r="K1222" t="str">
            <v>Bildirimsiz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15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1043.7499999185093</v>
          </cell>
        </row>
        <row r="1223">
          <cell r="C1223" t="str">
            <v>KIRKLARELİ</v>
          </cell>
          <cell r="D1223" t="str">
            <v>VİZE</v>
          </cell>
          <cell r="H1223" t="str">
            <v>Dağıtım-AG</v>
          </cell>
          <cell r="I1223" t="str">
            <v>Uzun</v>
          </cell>
          <cell r="J1223" t="str">
            <v>Şebeke işletmecisi</v>
          </cell>
          <cell r="K1223" t="str">
            <v>Bildirimsiz</v>
          </cell>
          <cell r="O1223">
            <v>0</v>
          </cell>
          <cell r="P1223">
            <v>0</v>
          </cell>
          <cell r="Q1223">
            <v>0</v>
          </cell>
          <cell r="R1223">
            <v>5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347.0833333209157</v>
          </cell>
          <cell r="Y1223">
            <v>0</v>
          </cell>
          <cell r="Z1223">
            <v>0</v>
          </cell>
        </row>
        <row r="1224">
          <cell r="C1224" t="str">
            <v>EDİRNE</v>
          </cell>
          <cell r="D1224" t="str">
            <v>LALAPAŞA</v>
          </cell>
          <cell r="H1224" t="str">
            <v>Dağıtım-OG</v>
          </cell>
          <cell r="I1224" t="str">
            <v>Uzun</v>
          </cell>
          <cell r="J1224" t="str">
            <v>Şebeke işletmecisi</v>
          </cell>
          <cell r="K1224" t="str">
            <v>Bildirimsiz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132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9158.6000000266358</v>
          </cell>
        </row>
        <row r="1225">
          <cell r="C1225" t="str">
            <v>KIRKLARELİ</v>
          </cell>
          <cell r="D1225" t="str">
            <v>DEMİRKÖY</v>
          </cell>
          <cell r="H1225" t="str">
            <v>Dağıtım-AG</v>
          </cell>
          <cell r="I1225" t="str">
            <v>Uzun</v>
          </cell>
          <cell r="J1225" t="str">
            <v>Şebeke işletmecisi</v>
          </cell>
          <cell r="K1225" t="str">
            <v>Bildirimsiz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35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2426.666666631354</v>
          </cell>
        </row>
        <row r="1226">
          <cell r="C1226" t="str">
            <v>KIRKLARELİ</v>
          </cell>
          <cell r="D1226" t="str">
            <v>KIRKLARELİMERKEZ</v>
          </cell>
          <cell r="H1226" t="str">
            <v>Dağıtım-OG</v>
          </cell>
          <cell r="I1226" t="str">
            <v>Uzun</v>
          </cell>
          <cell r="J1226" t="str">
            <v>Şebeke işletmecisi</v>
          </cell>
          <cell r="K1226" t="str">
            <v>Bildirimsiz</v>
          </cell>
          <cell r="O1226">
            <v>0</v>
          </cell>
          <cell r="P1226">
            <v>275</v>
          </cell>
          <cell r="Q1226">
            <v>0</v>
          </cell>
          <cell r="R1226">
            <v>14</v>
          </cell>
          <cell r="S1226">
            <v>0</v>
          </cell>
          <cell r="T1226">
            <v>0</v>
          </cell>
          <cell r="U1226">
            <v>0</v>
          </cell>
          <cell r="V1226">
            <v>19062.083331984468</v>
          </cell>
          <cell r="W1226">
            <v>0</v>
          </cell>
          <cell r="X1226">
            <v>970.43333326466382</v>
          </cell>
          <cell r="Y1226">
            <v>0</v>
          </cell>
          <cell r="Z1226">
            <v>0</v>
          </cell>
        </row>
        <row r="1227">
          <cell r="C1227" t="str">
            <v>KIRKLARELİ</v>
          </cell>
          <cell r="D1227" t="str">
            <v>LÜLEBURGAZ</v>
          </cell>
          <cell r="H1227" t="str">
            <v>Dağıtım-AG</v>
          </cell>
          <cell r="I1227" t="str">
            <v>Uzun</v>
          </cell>
          <cell r="J1227" t="str">
            <v>Şebeke işletmecisi</v>
          </cell>
          <cell r="K1227" t="str">
            <v>Bildirimsiz</v>
          </cell>
          <cell r="O1227">
            <v>0</v>
          </cell>
          <cell r="P1227">
            <v>146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10108.066666165832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</row>
        <row r="1228">
          <cell r="C1228" t="str">
            <v>KIRKLARELİ</v>
          </cell>
          <cell r="D1228" t="str">
            <v>DEMİRKÖY</v>
          </cell>
          <cell r="H1228" t="str">
            <v>Dağıtım-OG</v>
          </cell>
          <cell r="I1228" t="str">
            <v>Uzun</v>
          </cell>
          <cell r="J1228" t="str">
            <v>Şebeke İşletmecisi</v>
          </cell>
          <cell r="K1228" t="str">
            <v>Bildirimsiz</v>
          </cell>
          <cell r="O1228">
            <v>0</v>
          </cell>
          <cell r="P1228">
            <v>0</v>
          </cell>
          <cell r="Q1228">
            <v>3</v>
          </cell>
          <cell r="R1228">
            <v>2</v>
          </cell>
          <cell r="S1228">
            <v>7</v>
          </cell>
          <cell r="T1228">
            <v>109</v>
          </cell>
          <cell r="U1228">
            <v>0</v>
          </cell>
          <cell r="V1228">
            <v>0</v>
          </cell>
          <cell r="W1228">
            <v>207.29999999050051</v>
          </cell>
          <cell r="X1228">
            <v>138.19999999366701</v>
          </cell>
          <cell r="Y1228">
            <v>483.69999997783452</v>
          </cell>
          <cell r="Z1228">
            <v>7531.8999996548519</v>
          </cell>
        </row>
        <row r="1229">
          <cell r="C1229" t="str">
            <v>EDİRNE</v>
          </cell>
          <cell r="D1229" t="str">
            <v>KEŞAN</v>
          </cell>
          <cell r="H1229" t="str">
            <v>Dağıtım-AG</v>
          </cell>
          <cell r="I1229" t="str">
            <v>Uzun</v>
          </cell>
          <cell r="J1229" t="str">
            <v>Şebeke işletmecisi</v>
          </cell>
          <cell r="K1229" t="str">
            <v>Bildirimsiz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3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207.25000001024455</v>
          </cell>
        </row>
        <row r="1230">
          <cell r="C1230" t="str">
            <v>TEKİRDAĞ</v>
          </cell>
          <cell r="D1230" t="str">
            <v>KAPAKLI</v>
          </cell>
          <cell r="H1230" t="str">
            <v>Dağıtım-AG</v>
          </cell>
          <cell r="I1230" t="str">
            <v>Uzun</v>
          </cell>
          <cell r="J1230" t="str">
            <v>Şebeke işletmecisi</v>
          </cell>
          <cell r="K1230" t="str">
            <v>Bildirimsiz</v>
          </cell>
          <cell r="O1230">
            <v>0</v>
          </cell>
          <cell r="P1230">
            <v>56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3866.7999997548759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</row>
        <row r="1231">
          <cell r="C1231" t="str">
            <v>TEKİRDAĞ</v>
          </cell>
          <cell r="D1231" t="str">
            <v>SÜLEYMANPAŞA</v>
          </cell>
          <cell r="H1231" t="str">
            <v>Dağıtım-AG</v>
          </cell>
          <cell r="I1231" t="str">
            <v>Uzun</v>
          </cell>
          <cell r="J1231" t="str">
            <v>Şebeke işletmecisi</v>
          </cell>
          <cell r="K1231" t="str">
            <v>Bildirimsiz</v>
          </cell>
          <cell r="O1231">
            <v>0</v>
          </cell>
          <cell r="P1231">
            <v>123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8480.8500004524831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</row>
        <row r="1232">
          <cell r="C1232" t="str">
            <v>KIRKLARELİ</v>
          </cell>
          <cell r="D1232" t="str">
            <v>BABAESKİ</v>
          </cell>
          <cell r="H1232" t="str">
            <v>Dağıtım-OG</v>
          </cell>
          <cell r="I1232" t="str">
            <v>Uzun</v>
          </cell>
          <cell r="J1232" t="str">
            <v>Şebeke işletmecisi</v>
          </cell>
          <cell r="K1232" t="str">
            <v>Bildirimli</v>
          </cell>
          <cell r="O1232">
            <v>0</v>
          </cell>
          <cell r="P1232">
            <v>0</v>
          </cell>
          <cell r="Q1232">
            <v>0</v>
          </cell>
          <cell r="R1232">
            <v>32</v>
          </cell>
          <cell r="S1232">
            <v>0</v>
          </cell>
          <cell r="T1232">
            <v>1</v>
          </cell>
          <cell r="U1232">
            <v>0</v>
          </cell>
          <cell r="V1232">
            <v>0</v>
          </cell>
          <cell r="W1232">
            <v>0</v>
          </cell>
          <cell r="X1232">
            <v>2199.9999999627471</v>
          </cell>
          <cell r="Y1232">
            <v>0</v>
          </cell>
          <cell r="Z1232">
            <v>68.749999998835847</v>
          </cell>
        </row>
        <row r="1233">
          <cell r="C1233" t="str">
            <v>EDİRNE</v>
          </cell>
          <cell r="D1233" t="str">
            <v>HAVSA</v>
          </cell>
          <cell r="H1233" t="str">
            <v>Dağıtım-OG</v>
          </cell>
          <cell r="I1233" t="str">
            <v>Uzun</v>
          </cell>
          <cell r="J1233" t="str">
            <v>Şebeke İşletmecisi</v>
          </cell>
          <cell r="K1233" t="str">
            <v>Bildirimsiz</v>
          </cell>
          <cell r="O1233">
            <v>0</v>
          </cell>
          <cell r="P1233">
            <v>0</v>
          </cell>
          <cell r="Q1233">
            <v>5</v>
          </cell>
          <cell r="R1233">
            <v>1</v>
          </cell>
          <cell r="S1233">
            <v>28</v>
          </cell>
          <cell r="T1233">
            <v>1141</v>
          </cell>
          <cell r="U1233">
            <v>0</v>
          </cell>
          <cell r="V1233">
            <v>0</v>
          </cell>
          <cell r="W1233">
            <v>343.49999998812564</v>
          </cell>
          <cell r="X1233">
            <v>68.699999997625127</v>
          </cell>
          <cell r="Y1233">
            <v>1923.5999999335036</v>
          </cell>
          <cell r="Z1233">
            <v>78386.69999729027</v>
          </cell>
        </row>
        <row r="1234">
          <cell r="C1234" t="str">
            <v>TEKİRDAĞ</v>
          </cell>
          <cell r="D1234" t="str">
            <v>MARMARAEREĞLİSİ</v>
          </cell>
          <cell r="H1234" t="str">
            <v>Dağıtım-AG</v>
          </cell>
          <cell r="I1234" t="str">
            <v>Uzun</v>
          </cell>
          <cell r="J1234" t="str">
            <v>Şebeke İşletmecisi</v>
          </cell>
          <cell r="K1234" t="str">
            <v>Bildirimsiz</v>
          </cell>
          <cell r="O1234">
            <v>0</v>
          </cell>
          <cell r="P1234">
            <v>0</v>
          </cell>
          <cell r="Q1234">
            <v>0</v>
          </cell>
          <cell r="R1234">
            <v>9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618.14999994356185</v>
          </cell>
          <cell r="Y1234">
            <v>0</v>
          </cell>
          <cell r="Z1234">
            <v>0</v>
          </cell>
        </row>
        <row r="1235">
          <cell r="C1235" t="str">
            <v>EDİRNE</v>
          </cell>
          <cell r="D1235" t="str">
            <v>UZUNKÖPRÜ</v>
          </cell>
          <cell r="H1235" t="str">
            <v>Dağıtım-AG</v>
          </cell>
          <cell r="I1235" t="str">
            <v>Uzun</v>
          </cell>
          <cell r="J1235" t="str">
            <v>Şebeke işletmecisi</v>
          </cell>
          <cell r="K1235" t="str">
            <v>Bildirimsiz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5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343.16666668164544</v>
          </cell>
        </row>
        <row r="1236">
          <cell r="C1236" t="str">
            <v>TEKİRDAĞ</v>
          </cell>
          <cell r="D1236" t="str">
            <v>SÜLEYMANPAŞA</v>
          </cell>
          <cell r="H1236" t="str">
            <v>Dağıtım-AG</v>
          </cell>
          <cell r="I1236" t="str">
            <v>Uzun</v>
          </cell>
          <cell r="J1236" t="str">
            <v>Şebeke işletmecisi</v>
          </cell>
          <cell r="K1236" t="str">
            <v>Bildirimsiz</v>
          </cell>
          <cell r="O1236">
            <v>0</v>
          </cell>
          <cell r="P1236">
            <v>5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342.83333332277834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</row>
        <row r="1237">
          <cell r="C1237" t="str">
            <v>EDİRNE</v>
          </cell>
          <cell r="D1237" t="str">
            <v>UZUNKÖPRÜ</v>
          </cell>
          <cell r="H1237" t="str">
            <v>Dağıtım-AG</v>
          </cell>
          <cell r="I1237" t="str">
            <v>Uzun</v>
          </cell>
          <cell r="J1237" t="str">
            <v>Şebeke işletmecisi</v>
          </cell>
          <cell r="K1237" t="str">
            <v>Bildirimsiz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54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3700.800000031013</v>
          </cell>
        </row>
        <row r="1238">
          <cell r="C1238" t="str">
            <v>TEKİRDAĞ</v>
          </cell>
          <cell r="D1238" t="str">
            <v>MARMARAEREĞLİSİ</v>
          </cell>
          <cell r="H1238" t="str">
            <v>Dağıtım-AG</v>
          </cell>
          <cell r="I1238" t="str">
            <v>Uzun</v>
          </cell>
          <cell r="J1238" t="str">
            <v>Şebeke işletmecisi</v>
          </cell>
          <cell r="K1238" t="str">
            <v>Bildirimsiz</v>
          </cell>
          <cell r="O1238">
            <v>0</v>
          </cell>
          <cell r="P1238">
            <v>0</v>
          </cell>
          <cell r="Q1238">
            <v>0</v>
          </cell>
          <cell r="R1238">
            <v>24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1642.399999955669</v>
          </cell>
          <cell r="Y1238">
            <v>0</v>
          </cell>
          <cell r="Z1238">
            <v>0</v>
          </cell>
        </row>
        <row r="1239">
          <cell r="C1239" t="str">
            <v>EDİRNE</v>
          </cell>
          <cell r="D1239" t="str">
            <v>KEŞAN</v>
          </cell>
          <cell r="H1239" t="str">
            <v>Dağıtım-OG</v>
          </cell>
          <cell r="I1239" t="str">
            <v>Uzun</v>
          </cell>
          <cell r="J1239" t="str">
            <v>Şebeke işletmecisi</v>
          </cell>
          <cell r="K1239" t="str">
            <v>Bildirimsiz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7</v>
          </cell>
          <cell r="T1239">
            <v>106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478.91666669980623</v>
          </cell>
          <cell r="Z1239">
            <v>7252.1666671684943</v>
          </cell>
        </row>
        <row r="1240">
          <cell r="C1240" t="str">
            <v>EDİRNE</v>
          </cell>
          <cell r="D1240" t="str">
            <v>UZUNKÖPRÜ</v>
          </cell>
          <cell r="H1240" t="str">
            <v>Dağıtım-OG</v>
          </cell>
          <cell r="I1240" t="str">
            <v>Uzun</v>
          </cell>
          <cell r="J1240" t="str">
            <v>Şebeke işletmecisi</v>
          </cell>
          <cell r="K1240" t="str">
            <v>Bildirimsiz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2</v>
          </cell>
          <cell r="T1240">
            <v>181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136.80000000167638</v>
          </cell>
          <cell r="Z1240">
            <v>12380.400000151712</v>
          </cell>
        </row>
        <row r="1241">
          <cell r="C1241" t="str">
            <v>TEKİRDAĞ</v>
          </cell>
          <cell r="D1241" t="str">
            <v>SÜLEYMANPAŞA</v>
          </cell>
          <cell r="H1241" t="str">
            <v>Dağıtım-OG</v>
          </cell>
          <cell r="I1241" t="str">
            <v>Uzun</v>
          </cell>
          <cell r="J1241" t="str">
            <v>Şebeke işletmecisi</v>
          </cell>
          <cell r="K1241" t="str">
            <v>Bildirimli</v>
          </cell>
          <cell r="O1241">
            <v>3</v>
          </cell>
          <cell r="P1241">
            <v>6250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205.15000002225861</v>
          </cell>
          <cell r="V1241">
            <v>427395.83337970544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</row>
        <row r="1242">
          <cell r="C1242" t="str">
            <v>EDİRNE</v>
          </cell>
          <cell r="D1242" t="str">
            <v>İPSALA</v>
          </cell>
          <cell r="H1242" t="str">
            <v>Dağıtım-AG</v>
          </cell>
          <cell r="I1242" t="str">
            <v>Uzun</v>
          </cell>
          <cell r="J1242" t="str">
            <v>Şebeke işletmecisi</v>
          </cell>
          <cell r="K1242" t="str">
            <v>Bildirimsiz</v>
          </cell>
          <cell r="O1242">
            <v>0</v>
          </cell>
          <cell r="P1242">
            <v>0</v>
          </cell>
          <cell r="Q1242">
            <v>0</v>
          </cell>
          <cell r="R1242">
            <v>96</v>
          </cell>
          <cell r="S1242">
            <v>0</v>
          </cell>
          <cell r="T1242">
            <v>1</v>
          </cell>
          <cell r="U1242">
            <v>0</v>
          </cell>
          <cell r="V1242">
            <v>0</v>
          </cell>
          <cell r="W1242">
            <v>0</v>
          </cell>
          <cell r="X1242">
            <v>6564.7999997064471</v>
          </cell>
          <cell r="Y1242">
            <v>0</v>
          </cell>
          <cell r="Z1242">
            <v>68.383333330275491</v>
          </cell>
        </row>
        <row r="1243">
          <cell r="C1243" t="str">
            <v>TEKİRDAĞ</v>
          </cell>
          <cell r="D1243" t="str">
            <v>MARMARAEREĞLİSİ</v>
          </cell>
          <cell r="H1243" t="str">
            <v>Dağıtım-AG</v>
          </cell>
          <cell r="I1243" t="str">
            <v>Uzun</v>
          </cell>
          <cell r="J1243" t="str">
            <v>Şebeke işletmecisi</v>
          </cell>
          <cell r="K1243" t="str">
            <v>Bildirimsiz</v>
          </cell>
          <cell r="O1243">
            <v>0</v>
          </cell>
          <cell r="P1243">
            <v>22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1504.4333332660608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</row>
        <row r="1244">
          <cell r="C1244" t="str">
            <v>TEKİRDAĞ</v>
          </cell>
          <cell r="D1244" t="str">
            <v>MARMARAEREĞLİSİ</v>
          </cell>
          <cell r="H1244" t="str">
            <v>Dağıtım-AG</v>
          </cell>
          <cell r="I1244" t="str">
            <v>Uzun</v>
          </cell>
          <cell r="J1244" t="str">
            <v>Şebeke işletmecisi</v>
          </cell>
          <cell r="K1244" t="str">
            <v>Bildirimsiz</v>
          </cell>
          <cell r="O1244">
            <v>0</v>
          </cell>
          <cell r="P1244">
            <v>40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2734.6666668076068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</row>
        <row r="1245">
          <cell r="C1245" t="str">
            <v>TEKİRDAĞ</v>
          </cell>
          <cell r="D1245" t="str">
            <v>SARAY</v>
          </cell>
          <cell r="H1245" t="str">
            <v>Dağıtım-AG</v>
          </cell>
          <cell r="I1245" t="str">
            <v>Uzun</v>
          </cell>
          <cell r="J1245" t="str">
            <v>Şebeke işletmecisi</v>
          </cell>
          <cell r="K1245" t="str">
            <v>Bildirimsiz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1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68.349999999627471</v>
          </cell>
        </row>
        <row r="1246">
          <cell r="C1246" t="str">
            <v>KIRKLARELİ</v>
          </cell>
          <cell r="D1246" t="str">
            <v>KOFÇAZ</v>
          </cell>
          <cell r="H1246" t="str">
            <v>Dağıtım-OG</v>
          </cell>
          <cell r="I1246" t="str">
            <v>Uzun</v>
          </cell>
          <cell r="J1246" t="str">
            <v>Şebeke işletmecisi</v>
          </cell>
          <cell r="K1246" t="str">
            <v>Bildirimsiz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4</v>
          </cell>
          <cell r="T1246">
            <v>178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273.26666663400829</v>
          </cell>
          <cell r="Z1246">
            <v>12160.366665213369</v>
          </cell>
        </row>
        <row r="1247">
          <cell r="C1247" t="str">
            <v>TEKİRDAĞ</v>
          </cell>
          <cell r="D1247" t="str">
            <v>SARAY</v>
          </cell>
          <cell r="H1247" t="str">
            <v>Dağıtım-OG</v>
          </cell>
          <cell r="I1247" t="str">
            <v>Uzun</v>
          </cell>
          <cell r="J1247" t="str">
            <v>Şebeke işletmecisi</v>
          </cell>
          <cell r="K1247" t="str">
            <v>Bildirimli</v>
          </cell>
          <cell r="O1247">
            <v>0</v>
          </cell>
          <cell r="P1247">
            <v>18</v>
          </cell>
          <cell r="Q1247">
            <v>3</v>
          </cell>
          <cell r="R1247">
            <v>2067</v>
          </cell>
          <cell r="S1247">
            <v>0</v>
          </cell>
          <cell r="T1247">
            <v>0</v>
          </cell>
          <cell r="U1247">
            <v>0</v>
          </cell>
          <cell r="V1247">
            <v>1226.9999999762513</v>
          </cell>
          <cell r="W1247">
            <v>204.49999999604188</v>
          </cell>
          <cell r="X1247">
            <v>140900.49999727285</v>
          </cell>
          <cell r="Y1247">
            <v>0</v>
          </cell>
          <cell r="Z1247">
            <v>0</v>
          </cell>
        </row>
        <row r="1248">
          <cell r="C1248" t="str">
            <v>EDİRNE</v>
          </cell>
          <cell r="D1248" t="str">
            <v>LALAPAŞA</v>
          </cell>
          <cell r="H1248" t="str">
            <v>Dağıtım-AG</v>
          </cell>
          <cell r="I1248" t="str">
            <v>Uzun</v>
          </cell>
          <cell r="J1248" t="str">
            <v>Şebeke işletmecisi</v>
          </cell>
          <cell r="K1248" t="str">
            <v>Bildirimsiz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222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15132.999999707099</v>
          </cell>
        </row>
        <row r="1249">
          <cell r="C1249" t="str">
            <v>KIRKLARELİ</v>
          </cell>
          <cell r="D1249" t="str">
            <v>BABAESKİ</v>
          </cell>
          <cell r="H1249" t="str">
            <v>Dağıtım-OG</v>
          </cell>
          <cell r="I1249" t="str">
            <v>Uzun</v>
          </cell>
          <cell r="J1249" t="str">
            <v>Şebeke işletmecisi</v>
          </cell>
          <cell r="K1249" t="str">
            <v>Bildirimsiz</v>
          </cell>
          <cell r="O1249">
            <v>3</v>
          </cell>
          <cell r="P1249">
            <v>1</v>
          </cell>
          <cell r="Q1249">
            <v>3</v>
          </cell>
          <cell r="R1249">
            <v>18</v>
          </cell>
          <cell r="S1249">
            <v>0</v>
          </cell>
          <cell r="T1249">
            <v>0</v>
          </cell>
          <cell r="U1249">
            <v>204.25000000046566</v>
          </cell>
          <cell r="V1249">
            <v>68.083333333488554</v>
          </cell>
          <cell r="W1249">
            <v>204.25000000046566</v>
          </cell>
          <cell r="X1249">
            <v>1225.500000002794</v>
          </cell>
          <cell r="Y1249">
            <v>0</v>
          </cell>
          <cell r="Z1249">
            <v>0</v>
          </cell>
        </row>
        <row r="1250">
          <cell r="C1250" t="str">
            <v>EDİRNE</v>
          </cell>
          <cell r="D1250" t="str">
            <v>EDİRNEMERKEZ</v>
          </cell>
          <cell r="H1250" t="str">
            <v>Dağıtım-AG</v>
          </cell>
          <cell r="I1250" t="str">
            <v>Uzun</v>
          </cell>
          <cell r="J1250" t="str">
            <v>Şebeke işletmecisi</v>
          </cell>
          <cell r="K1250" t="str">
            <v>Bildirimsiz</v>
          </cell>
          <cell r="O1250">
            <v>0</v>
          </cell>
          <cell r="P1250">
            <v>83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5650.91666667955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</row>
        <row r="1251">
          <cell r="C1251" t="str">
            <v>KIRKLARELİ</v>
          </cell>
          <cell r="D1251" t="str">
            <v>DEMİRKÖY</v>
          </cell>
          <cell r="H1251" t="str">
            <v>Dağıtım-OG</v>
          </cell>
          <cell r="I1251" t="str">
            <v>Uzun</v>
          </cell>
          <cell r="J1251" t="str">
            <v>Şebeke işletmecisi</v>
          </cell>
          <cell r="K1251" t="str">
            <v>Bildirimsiz</v>
          </cell>
          <cell r="O1251">
            <v>0</v>
          </cell>
          <cell r="P1251">
            <v>0</v>
          </cell>
          <cell r="Q1251">
            <v>11</v>
          </cell>
          <cell r="R1251">
            <v>3764</v>
          </cell>
          <cell r="S1251">
            <v>9</v>
          </cell>
          <cell r="T1251">
            <v>529</v>
          </cell>
          <cell r="U1251">
            <v>0</v>
          </cell>
          <cell r="V1251">
            <v>0</v>
          </cell>
          <cell r="W1251">
            <v>748.55000003124587</v>
          </cell>
          <cell r="X1251">
            <v>256140.20001069177</v>
          </cell>
          <cell r="Y1251">
            <v>612.4500000255648</v>
          </cell>
          <cell r="Z1251">
            <v>35998.450001502642</v>
          </cell>
        </row>
        <row r="1252">
          <cell r="C1252" t="str">
            <v>TEKİRDAĞ</v>
          </cell>
          <cell r="D1252" t="str">
            <v>MARMARAEREĞLİSİ</v>
          </cell>
          <cell r="H1252" t="str">
            <v>Dağıtım-AG</v>
          </cell>
          <cell r="I1252" t="str">
            <v>Uzun</v>
          </cell>
          <cell r="J1252" t="str">
            <v>Şebeke işletmecisi</v>
          </cell>
          <cell r="K1252" t="str">
            <v>Bildirimsiz</v>
          </cell>
          <cell r="O1252">
            <v>0</v>
          </cell>
          <cell r="P1252">
            <v>0</v>
          </cell>
          <cell r="Q1252">
            <v>0</v>
          </cell>
          <cell r="R1252">
            <v>4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272.13333332911134</v>
          </cell>
          <cell r="Y1252">
            <v>0</v>
          </cell>
          <cell r="Z1252">
            <v>0</v>
          </cell>
        </row>
        <row r="1253">
          <cell r="C1253" t="str">
            <v>EDİRNE</v>
          </cell>
          <cell r="D1253" t="str">
            <v>UZUNKÖPRÜ</v>
          </cell>
          <cell r="H1253" t="str">
            <v>Dağıtım-AG</v>
          </cell>
          <cell r="I1253" t="str">
            <v>Uzun</v>
          </cell>
          <cell r="J1253" t="str">
            <v>Şebeke işletmecisi</v>
          </cell>
          <cell r="K1253" t="str">
            <v>Bildirimsiz</v>
          </cell>
          <cell r="O1253">
            <v>0</v>
          </cell>
          <cell r="P1253">
            <v>24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1632.4000001326203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</row>
        <row r="1254">
          <cell r="C1254" t="str">
            <v>EDİRNE</v>
          </cell>
          <cell r="D1254" t="str">
            <v>İPSALA</v>
          </cell>
          <cell r="H1254" t="str">
            <v>Dağıtım-AG</v>
          </cell>
          <cell r="I1254" t="str">
            <v>Uzun</v>
          </cell>
          <cell r="J1254" t="str">
            <v>Şebeke işletmecisi</v>
          </cell>
          <cell r="K1254" t="str">
            <v>Bildirimsiz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1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67.983333331067115</v>
          </cell>
        </row>
        <row r="1255">
          <cell r="C1255" t="str">
            <v>TEKİRDAĞ</v>
          </cell>
          <cell r="D1255" t="str">
            <v>SÜLEYMANPAŞA</v>
          </cell>
          <cell r="H1255" t="str">
            <v>Dağıtım-AG</v>
          </cell>
          <cell r="I1255" t="str">
            <v>Uzun</v>
          </cell>
          <cell r="J1255" t="str">
            <v>Dışsal</v>
          </cell>
          <cell r="K1255" t="str">
            <v>Bildirimsiz</v>
          </cell>
          <cell r="O1255">
            <v>0</v>
          </cell>
          <cell r="P1255">
            <v>69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4687.4000004830305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</row>
        <row r="1256">
          <cell r="C1256" t="str">
            <v>TEKİRDAĞ</v>
          </cell>
          <cell r="D1256" t="str">
            <v>HAYRABOLU</v>
          </cell>
          <cell r="H1256" t="str">
            <v>Dağıtım-AG</v>
          </cell>
          <cell r="I1256" t="str">
            <v>Uzun</v>
          </cell>
          <cell r="J1256" t="str">
            <v>Şebeke işletmecisi</v>
          </cell>
          <cell r="K1256" t="str">
            <v>Bildirimsiz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3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203.60000000568107</v>
          </cell>
        </row>
        <row r="1257">
          <cell r="C1257" t="str">
            <v>KIRKLARELİ</v>
          </cell>
          <cell r="D1257" t="str">
            <v>PINARHİSAR</v>
          </cell>
          <cell r="H1257" t="str">
            <v>Dağıtım-OG</v>
          </cell>
          <cell r="I1257" t="str">
            <v>Uzun</v>
          </cell>
          <cell r="J1257" t="str">
            <v>Şebeke işletmecisi</v>
          </cell>
          <cell r="K1257" t="str">
            <v>Bildirimsiz</v>
          </cell>
          <cell r="O1257">
            <v>0</v>
          </cell>
          <cell r="P1257">
            <v>0</v>
          </cell>
          <cell r="Q1257">
            <v>3</v>
          </cell>
          <cell r="R1257">
            <v>631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203.54999999399297</v>
          </cell>
          <cell r="X1257">
            <v>42813.349998736521</v>
          </cell>
          <cell r="Y1257">
            <v>0</v>
          </cell>
          <cell r="Z1257">
            <v>0</v>
          </cell>
        </row>
        <row r="1258">
          <cell r="C1258" t="str">
            <v>TEKİRDAĞ</v>
          </cell>
          <cell r="D1258" t="str">
            <v>HAYRABOLU</v>
          </cell>
          <cell r="H1258" t="str">
            <v>Dağıtım-AG</v>
          </cell>
          <cell r="I1258" t="str">
            <v>Uzun</v>
          </cell>
          <cell r="J1258" t="str">
            <v>Şebeke işletmecisi</v>
          </cell>
          <cell r="K1258" t="str">
            <v>Bildirimsiz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41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2779.7999998682644</v>
          </cell>
        </row>
        <row r="1259">
          <cell r="C1259" t="str">
            <v>TEKİRDAĞ</v>
          </cell>
          <cell r="D1259" t="str">
            <v>SARAY</v>
          </cell>
          <cell r="H1259" t="str">
            <v>Dağıtım-AG</v>
          </cell>
          <cell r="I1259" t="str">
            <v>Uzun</v>
          </cell>
          <cell r="J1259" t="str">
            <v>Şebeke işletmecisi</v>
          </cell>
          <cell r="K1259" t="str">
            <v>Bildirimsiz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1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67.766666666138917</v>
          </cell>
        </row>
        <row r="1260">
          <cell r="C1260" t="str">
            <v>TEKİRDAĞ</v>
          </cell>
          <cell r="D1260" t="str">
            <v>KAPAKLI</v>
          </cell>
          <cell r="H1260" t="str">
            <v>Dağıtım-OG</v>
          </cell>
          <cell r="I1260" t="str">
            <v>Uzun</v>
          </cell>
          <cell r="J1260" t="str">
            <v>Şebeke işletmecisi</v>
          </cell>
          <cell r="K1260" t="str">
            <v>Bildirimsiz</v>
          </cell>
          <cell r="O1260">
            <v>0</v>
          </cell>
          <cell r="P1260">
            <v>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67.716666675405577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</row>
        <row r="1261">
          <cell r="C1261" t="str">
            <v>EDİRNE</v>
          </cell>
          <cell r="D1261" t="str">
            <v>UZUNKÖPRÜ</v>
          </cell>
          <cell r="H1261" t="str">
            <v>Dağıtım-AG</v>
          </cell>
          <cell r="I1261" t="str">
            <v>Uzun</v>
          </cell>
          <cell r="J1261" t="str">
            <v>Şebeke işletmecisi</v>
          </cell>
          <cell r="K1261" t="str">
            <v>Bildirimsiz</v>
          </cell>
          <cell r="O1261">
            <v>0</v>
          </cell>
          <cell r="P1261">
            <v>44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2975.8666666550562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</row>
        <row r="1262">
          <cell r="C1262" t="str">
            <v>TEKİRDAĞ</v>
          </cell>
          <cell r="D1262" t="str">
            <v>SÜLEYMANPAŞA</v>
          </cell>
          <cell r="H1262" t="str">
            <v>Dağıtım-AG</v>
          </cell>
          <cell r="I1262" t="str">
            <v>Uzun</v>
          </cell>
          <cell r="J1262" t="str">
            <v>Şebeke işletmecisi</v>
          </cell>
          <cell r="K1262" t="str">
            <v>Bildirimsiz</v>
          </cell>
          <cell r="O1262">
            <v>0</v>
          </cell>
          <cell r="P1262">
            <v>1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67.583333331858739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</row>
        <row r="1263">
          <cell r="C1263" t="str">
            <v>KIRKLARELİ</v>
          </cell>
          <cell r="D1263" t="str">
            <v>KIRKLARELİMERKEZ</v>
          </cell>
          <cell r="H1263" t="str">
            <v>Dağıtım-OG</v>
          </cell>
          <cell r="I1263" t="str">
            <v>Uzun</v>
          </cell>
          <cell r="J1263" t="str">
            <v>Şebeke işletmecisi</v>
          </cell>
          <cell r="K1263" t="str">
            <v>Bildirimli</v>
          </cell>
          <cell r="O1263">
            <v>0</v>
          </cell>
          <cell r="P1263">
            <v>75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5050.0000002211891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</row>
        <row r="1264">
          <cell r="C1264" t="str">
            <v>EDİRNE</v>
          </cell>
          <cell r="D1264" t="str">
            <v>EDİRNEMERKEZ</v>
          </cell>
          <cell r="H1264" t="str">
            <v>Dağıtım-AG</v>
          </cell>
          <cell r="I1264" t="str">
            <v>Uzun</v>
          </cell>
          <cell r="J1264" t="str">
            <v>Şebeke işletmecisi</v>
          </cell>
          <cell r="K1264" t="str">
            <v>Bildirimsiz</v>
          </cell>
          <cell r="O1264">
            <v>0</v>
          </cell>
          <cell r="P1264">
            <v>46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3096.5666666231118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</row>
        <row r="1265">
          <cell r="C1265" t="str">
            <v>TEKİRDAĞ</v>
          </cell>
          <cell r="D1265" t="str">
            <v>ÇORLU</v>
          </cell>
          <cell r="H1265" t="str">
            <v>Dağıtım-AG</v>
          </cell>
          <cell r="I1265" t="str">
            <v>Uzun</v>
          </cell>
          <cell r="J1265" t="str">
            <v>Şebeke işletmecisi</v>
          </cell>
          <cell r="K1265" t="str">
            <v>Bildirimsiz</v>
          </cell>
          <cell r="O1265">
            <v>0</v>
          </cell>
          <cell r="P1265">
            <v>178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11982.366666498128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</row>
        <row r="1266">
          <cell r="C1266" t="str">
            <v>TEKİRDAĞ</v>
          </cell>
          <cell r="D1266" t="str">
            <v>SÜLEYMANPAŞA</v>
          </cell>
          <cell r="H1266" t="str">
            <v>Dağıtım-OG</v>
          </cell>
          <cell r="I1266" t="str">
            <v>Uzun</v>
          </cell>
          <cell r="J1266" t="str">
            <v>Şebeke işletmecisi</v>
          </cell>
          <cell r="K1266" t="str">
            <v>Bildirimli</v>
          </cell>
          <cell r="O1266">
            <v>0</v>
          </cell>
          <cell r="P1266">
            <v>145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9746.4166676974855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</row>
        <row r="1267">
          <cell r="C1267" t="str">
            <v>TEKİRDAĞ</v>
          </cell>
          <cell r="D1267" t="str">
            <v>ÇORLU</v>
          </cell>
          <cell r="H1267" t="str">
            <v>Dağıtım-OG</v>
          </cell>
          <cell r="I1267" t="str">
            <v>Uzun</v>
          </cell>
          <cell r="J1267" t="str">
            <v>Şebeke işletmecisi</v>
          </cell>
          <cell r="K1267" t="str">
            <v>Bildirimli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12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805.80000002402812</v>
          </cell>
          <cell r="Z1267">
            <v>0</v>
          </cell>
        </row>
        <row r="1268">
          <cell r="C1268" t="str">
            <v>EDİRNE</v>
          </cell>
          <cell r="D1268" t="str">
            <v>UZUNKÖPRÜ</v>
          </cell>
          <cell r="H1268" t="str">
            <v>Dağıtım-OG</v>
          </cell>
          <cell r="I1268" t="str">
            <v>Uzun</v>
          </cell>
          <cell r="J1268" t="str">
            <v>Şebeke işletmecisi</v>
          </cell>
          <cell r="K1268" t="str">
            <v>Bildirimsiz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263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17651.683334566187</v>
          </cell>
        </row>
        <row r="1269">
          <cell r="C1269" t="str">
            <v>KIRKLARELİ</v>
          </cell>
          <cell r="D1269" t="str">
            <v>LÜLEBURGAZ</v>
          </cell>
          <cell r="H1269" t="str">
            <v>Dağıtım-AG</v>
          </cell>
          <cell r="I1269" t="str">
            <v>Uzun</v>
          </cell>
          <cell r="J1269" t="str">
            <v>Şebeke işletmecisi</v>
          </cell>
          <cell r="K1269" t="str">
            <v>Bildirimsiz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2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134.20000000158325</v>
          </cell>
        </row>
        <row r="1270">
          <cell r="C1270" t="str">
            <v>KIRKLARELİ</v>
          </cell>
          <cell r="D1270" t="str">
            <v>PEHLİVANKÖY</v>
          </cell>
          <cell r="H1270" t="str">
            <v>Dağıtım-OG</v>
          </cell>
          <cell r="I1270" t="str">
            <v>Uzun</v>
          </cell>
          <cell r="J1270" t="str">
            <v>Şebeke işletmecisi</v>
          </cell>
          <cell r="K1270" t="str">
            <v>Bildirimli</v>
          </cell>
          <cell r="O1270">
            <v>0</v>
          </cell>
          <cell r="P1270">
            <v>0</v>
          </cell>
          <cell r="Q1270">
            <v>1</v>
          </cell>
          <cell r="R1270">
            <v>39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67.066666670143604</v>
          </cell>
          <cell r="X1270">
            <v>2615.6000001356006</v>
          </cell>
          <cell r="Y1270">
            <v>0</v>
          </cell>
          <cell r="Z1270">
            <v>0</v>
          </cell>
        </row>
        <row r="1271">
          <cell r="C1271" t="str">
            <v>TEKİRDAĞ</v>
          </cell>
          <cell r="D1271" t="str">
            <v>MURATLI</v>
          </cell>
          <cell r="H1271" t="str">
            <v>Dağıtım-OG</v>
          </cell>
          <cell r="I1271" t="str">
            <v>Uzun</v>
          </cell>
          <cell r="J1271" t="str">
            <v>Şebeke işletmecisi</v>
          </cell>
          <cell r="K1271" t="str">
            <v>Bildirimsiz</v>
          </cell>
          <cell r="O1271">
            <v>2</v>
          </cell>
          <cell r="P1271">
            <v>315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133.99999999674037</v>
          </cell>
          <cell r="V1271">
            <v>21104.999999486608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</row>
        <row r="1272">
          <cell r="C1272" t="str">
            <v>TEKİRDAĞ</v>
          </cell>
          <cell r="D1272" t="str">
            <v>SÜLEYMANPAŞA</v>
          </cell>
          <cell r="H1272" t="str">
            <v>Dağıtım-OG</v>
          </cell>
          <cell r="I1272" t="str">
            <v>Uzun</v>
          </cell>
          <cell r="J1272" t="str">
            <v>Şebeke işletmecisi</v>
          </cell>
          <cell r="K1272" t="str">
            <v>Bildirimsiz</v>
          </cell>
          <cell r="O1272">
            <v>0</v>
          </cell>
          <cell r="P1272">
            <v>545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36514.999999111751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</row>
        <row r="1273">
          <cell r="C1273" t="str">
            <v>TEKİRDAĞ</v>
          </cell>
          <cell r="D1273" t="str">
            <v>SARAY</v>
          </cell>
          <cell r="H1273" t="str">
            <v>Dağıtım-AG</v>
          </cell>
          <cell r="I1273" t="str">
            <v>Uzun</v>
          </cell>
          <cell r="J1273" t="str">
            <v>Şebeke işletmecisi</v>
          </cell>
          <cell r="K1273" t="str">
            <v>Bildirimsiz</v>
          </cell>
          <cell r="O1273">
            <v>0</v>
          </cell>
          <cell r="P1273">
            <v>0</v>
          </cell>
          <cell r="Q1273">
            <v>0</v>
          </cell>
          <cell r="R1273">
            <v>1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66.899999995948747</v>
          </cell>
          <cell r="Y1273">
            <v>0</v>
          </cell>
          <cell r="Z1273">
            <v>0</v>
          </cell>
        </row>
        <row r="1274">
          <cell r="C1274" t="str">
            <v>KIRKLARELİ</v>
          </cell>
          <cell r="D1274" t="str">
            <v>VİZE</v>
          </cell>
          <cell r="H1274" t="str">
            <v>Dağıtım-OG</v>
          </cell>
          <cell r="I1274" t="str">
            <v>Uzun</v>
          </cell>
          <cell r="J1274" t="str">
            <v>Şebeke işletmecisi</v>
          </cell>
          <cell r="K1274" t="str">
            <v>Bildirimsiz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1</v>
          </cell>
          <cell r="T1274">
            <v>275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66.766666662879288</v>
          </cell>
          <cell r="Z1274">
            <v>18360.833332291804</v>
          </cell>
        </row>
        <row r="1275">
          <cell r="C1275" t="str">
            <v>TEKİRDAĞ</v>
          </cell>
          <cell r="D1275" t="str">
            <v>SÜLEYMANPAŞA</v>
          </cell>
          <cell r="H1275" t="str">
            <v>Dağıtım-AG</v>
          </cell>
          <cell r="I1275" t="str">
            <v>Uzun</v>
          </cell>
          <cell r="J1275" t="str">
            <v>Şebeke işletmecisi</v>
          </cell>
          <cell r="K1275" t="str">
            <v>Bildirimsiz</v>
          </cell>
          <cell r="O1275">
            <v>0</v>
          </cell>
          <cell r="P1275">
            <v>2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133.3666666620411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</row>
        <row r="1276">
          <cell r="C1276" t="str">
            <v>TEKİRDAĞ</v>
          </cell>
          <cell r="D1276" t="str">
            <v>SÜLEYMANPAŞA</v>
          </cell>
          <cell r="H1276" t="str">
            <v>Dağıtım-AG</v>
          </cell>
          <cell r="I1276" t="str">
            <v>Uzun</v>
          </cell>
          <cell r="J1276" t="str">
            <v>Şebeke işletmecisi</v>
          </cell>
          <cell r="K1276" t="str">
            <v>Bildirimsiz</v>
          </cell>
          <cell r="O1276">
            <v>0</v>
          </cell>
          <cell r="P1276">
            <v>54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3599.1000000201166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</row>
        <row r="1277">
          <cell r="C1277" t="str">
            <v>TEKİRDAĞ</v>
          </cell>
          <cell r="D1277" t="str">
            <v>MARMARAEREĞLİSİ</v>
          </cell>
          <cell r="H1277" t="str">
            <v>Dağıtım-OG</v>
          </cell>
          <cell r="I1277" t="str">
            <v>Uzun</v>
          </cell>
          <cell r="J1277" t="str">
            <v>Şebeke işletmecisi</v>
          </cell>
          <cell r="K1277" t="str">
            <v>Bildirimsiz</v>
          </cell>
          <cell r="O1277">
            <v>0</v>
          </cell>
          <cell r="P1277">
            <v>0</v>
          </cell>
          <cell r="Q1277">
            <v>1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66.63333332980983</v>
          </cell>
          <cell r="X1277">
            <v>0</v>
          </cell>
          <cell r="Y1277">
            <v>0</v>
          </cell>
          <cell r="Z1277">
            <v>0</v>
          </cell>
        </row>
        <row r="1278">
          <cell r="C1278" t="str">
            <v>EDİRNE</v>
          </cell>
          <cell r="D1278" t="str">
            <v>KEŞAN</v>
          </cell>
          <cell r="H1278" t="str">
            <v>Dağıtım-AG</v>
          </cell>
          <cell r="I1278" t="str">
            <v>Uzun</v>
          </cell>
          <cell r="J1278" t="str">
            <v>Şebeke işletmecisi</v>
          </cell>
          <cell r="K1278" t="str">
            <v>Bildirimsiz</v>
          </cell>
          <cell r="O1278">
            <v>0</v>
          </cell>
          <cell r="P1278">
            <v>1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66.58333332859911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</row>
        <row r="1279">
          <cell r="C1279" t="str">
            <v>KIRKLARELİ</v>
          </cell>
          <cell r="D1279" t="str">
            <v>PEHLİVANKÖY</v>
          </cell>
          <cell r="H1279" t="str">
            <v>Dağıtım-OG</v>
          </cell>
          <cell r="I1279" t="str">
            <v>Uzun</v>
          </cell>
          <cell r="J1279" t="str">
            <v>Şebeke işletmecisi</v>
          </cell>
          <cell r="K1279" t="str">
            <v>Bildirimli</v>
          </cell>
          <cell r="O1279">
            <v>0</v>
          </cell>
          <cell r="P1279">
            <v>0</v>
          </cell>
          <cell r="Q1279">
            <v>0</v>
          </cell>
          <cell r="R1279">
            <v>293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19469.849998690188</v>
          </cell>
          <cell r="Y1279">
            <v>0</v>
          </cell>
          <cell r="Z1279">
            <v>0</v>
          </cell>
        </row>
        <row r="1280">
          <cell r="C1280" t="str">
            <v>TEKİRDAĞ</v>
          </cell>
          <cell r="D1280" t="str">
            <v>ÇORLU</v>
          </cell>
          <cell r="H1280" t="str">
            <v>Dağıtım-OG</v>
          </cell>
          <cell r="I1280" t="str">
            <v>Uzun</v>
          </cell>
          <cell r="J1280" t="str">
            <v>Şebeke İşletmecisi</v>
          </cell>
          <cell r="K1280" t="str">
            <v>Bildirimsiz</v>
          </cell>
          <cell r="O1280">
            <v>0</v>
          </cell>
          <cell r="P1280">
            <v>5</v>
          </cell>
          <cell r="Q1280">
            <v>0</v>
          </cell>
          <cell r="R1280">
            <v>0</v>
          </cell>
          <cell r="S1280">
            <v>15</v>
          </cell>
          <cell r="T1280">
            <v>329</v>
          </cell>
          <cell r="U1280">
            <v>0</v>
          </cell>
          <cell r="V1280">
            <v>331.83333331835456</v>
          </cell>
          <cell r="W1280">
            <v>0</v>
          </cell>
          <cell r="X1280">
            <v>0</v>
          </cell>
          <cell r="Y1280">
            <v>995.49999995506369</v>
          </cell>
          <cell r="Z1280">
            <v>21834.63333234773</v>
          </cell>
        </row>
        <row r="1281">
          <cell r="C1281" t="str">
            <v>TEKİRDAĞ</v>
          </cell>
          <cell r="D1281" t="str">
            <v>ERGENE</v>
          </cell>
          <cell r="H1281" t="str">
            <v>Dağıtım-OG</v>
          </cell>
          <cell r="I1281" t="str">
            <v>Uzun</v>
          </cell>
          <cell r="J1281" t="str">
            <v>Şebeke işletmecisi</v>
          </cell>
          <cell r="K1281" t="str">
            <v>Bildirimsiz</v>
          </cell>
          <cell r="O1281">
            <v>72</v>
          </cell>
          <cell r="P1281">
            <v>20</v>
          </cell>
          <cell r="Q1281">
            <v>0</v>
          </cell>
          <cell r="R1281">
            <v>0</v>
          </cell>
          <cell r="S1281">
            <v>0</v>
          </cell>
          <cell r="T1281">
            <v>5</v>
          </cell>
          <cell r="U1281">
            <v>4772.3999998904765</v>
          </cell>
          <cell r="V1281">
            <v>1325.6666666362435</v>
          </cell>
          <cell r="W1281">
            <v>0</v>
          </cell>
          <cell r="X1281">
            <v>0</v>
          </cell>
          <cell r="Y1281">
            <v>0</v>
          </cell>
          <cell r="Z1281">
            <v>331.41666665906087</v>
          </cell>
        </row>
        <row r="1282">
          <cell r="C1282" t="str">
            <v>KIRKLARELİ</v>
          </cell>
          <cell r="D1282" t="str">
            <v>KIRKLARELİMERKEZ</v>
          </cell>
          <cell r="H1282" t="str">
            <v>Dağıtım-OG</v>
          </cell>
          <cell r="I1282" t="str">
            <v>Uzun</v>
          </cell>
          <cell r="J1282" t="str">
            <v>Şebeke işletmecisi</v>
          </cell>
          <cell r="K1282" t="str">
            <v>Bildirimli</v>
          </cell>
          <cell r="O1282">
            <v>3</v>
          </cell>
          <cell r="P1282">
            <v>6520</v>
          </cell>
          <cell r="Q1282">
            <v>0</v>
          </cell>
          <cell r="R1282">
            <v>3</v>
          </cell>
          <cell r="S1282">
            <v>1</v>
          </cell>
          <cell r="T1282">
            <v>3</v>
          </cell>
          <cell r="U1282">
            <v>198.5999999998603</v>
          </cell>
          <cell r="V1282">
            <v>431623.99999969639</v>
          </cell>
          <cell r="W1282">
            <v>0</v>
          </cell>
          <cell r="X1282">
            <v>198.5999999998603</v>
          </cell>
          <cell r="Y1282">
            <v>66.199999999953434</v>
          </cell>
          <cell r="Z1282">
            <v>198.5999999998603</v>
          </cell>
        </row>
        <row r="1283">
          <cell r="C1283" t="str">
            <v>TEKİRDAĞ</v>
          </cell>
          <cell r="D1283" t="str">
            <v>SÜLEYMANPAŞA</v>
          </cell>
          <cell r="H1283" t="str">
            <v>Dağıtım-OG</v>
          </cell>
          <cell r="I1283" t="str">
            <v>Uzun</v>
          </cell>
          <cell r="J1283" t="str">
            <v>Şebeke işletmecisi</v>
          </cell>
          <cell r="K1283" t="str">
            <v>Bildirimsiz</v>
          </cell>
          <cell r="O1283">
            <v>0</v>
          </cell>
          <cell r="P1283">
            <v>435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28768.000002315966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</row>
        <row r="1284">
          <cell r="C1284" t="str">
            <v>EDİRNE</v>
          </cell>
          <cell r="D1284" t="str">
            <v>EDİRNEMERKEZ</v>
          </cell>
          <cell r="H1284" t="str">
            <v>Dağıtım-AG</v>
          </cell>
          <cell r="I1284" t="str">
            <v>Uzun</v>
          </cell>
          <cell r="J1284" t="str">
            <v>Şebeke işletmecisi</v>
          </cell>
          <cell r="K1284" t="str">
            <v>Bildirimsiz</v>
          </cell>
          <cell r="O1284">
            <v>0</v>
          </cell>
          <cell r="P1284">
            <v>2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132.26666665636003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</row>
        <row r="1285">
          <cell r="C1285" t="str">
            <v>TEKİRDAĞ</v>
          </cell>
          <cell r="D1285" t="str">
            <v>MARMARAEREĞLİSİ</v>
          </cell>
          <cell r="H1285" t="str">
            <v>Dağıtım-OG</v>
          </cell>
          <cell r="I1285" t="str">
            <v>Uzun</v>
          </cell>
          <cell r="J1285" t="str">
            <v>Şebeke işletmecisi</v>
          </cell>
          <cell r="K1285" t="str">
            <v>Bildirimsiz</v>
          </cell>
          <cell r="O1285">
            <v>1</v>
          </cell>
          <cell r="P1285">
            <v>0</v>
          </cell>
          <cell r="Q1285">
            <v>9</v>
          </cell>
          <cell r="R1285">
            <v>0</v>
          </cell>
          <cell r="S1285">
            <v>0</v>
          </cell>
          <cell r="T1285">
            <v>0</v>
          </cell>
          <cell r="U1285">
            <v>65.950000004377216</v>
          </cell>
          <cell r="V1285">
            <v>0</v>
          </cell>
          <cell r="W1285">
            <v>593.55000003939494</v>
          </cell>
          <cell r="X1285">
            <v>0</v>
          </cell>
          <cell r="Y1285">
            <v>0</v>
          </cell>
          <cell r="Z1285">
            <v>0</v>
          </cell>
        </row>
        <row r="1286">
          <cell r="C1286" t="str">
            <v>EDİRNE</v>
          </cell>
          <cell r="D1286" t="str">
            <v>KEŞAN</v>
          </cell>
          <cell r="H1286" t="str">
            <v>Dağıtım-OG</v>
          </cell>
          <cell r="I1286" t="str">
            <v>Uzun</v>
          </cell>
          <cell r="J1286" t="str">
            <v>Şebeke işletmecisi</v>
          </cell>
          <cell r="K1286" t="str">
            <v>Bildirimsiz</v>
          </cell>
          <cell r="O1286">
            <v>0</v>
          </cell>
          <cell r="P1286">
            <v>260</v>
          </cell>
          <cell r="Q1286">
            <v>0</v>
          </cell>
          <cell r="R1286">
            <v>0</v>
          </cell>
          <cell r="S1286">
            <v>0</v>
          </cell>
          <cell r="T1286">
            <v>14</v>
          </cell>
          <cell r="U1286">
            <v>0</v>
          </cell>
          <cell r="V1286">
            <v>17147.000001138076</v>
          </cell>
          <cell r="W1286">
            <v>0</v>
          </cell>
          <cell r="X1286">
            <v>0</v>
          </cell>
          <cell r="Y1286">
            <v>0</v>
          </cell>
          <cell r="Z1286">
            <v>923.30000006128103</v>
          </cell>
        </row>
        <row r="1287">
          <cell r="C1287" t="str">
            <v>TEKİRDAĞ</v>
          </cell>
          <cell r="D1287" t="str">
            <v>HAYRABOLU</v>
          </cell>
          <cell r="H1287" t="str">
            <v>Dağıtım-OG</v>
          </cell>
          <cell r="I1287" t="str">
            <v>Uzun</v>
          </cell>
          <cell r="J1287" t="str">
            <v>Şebeke işletmecisi</v>
          </cell>
          <cell r="K1287" t="str">
            <v>Bildirimsiz</v>
          </cell>
          <cell r="O1287">
            <v>0</v>
          </cell>
          <cell r="P1287">
            <v>2</v>
          </cell>
          <cell r="Q1287">
            <v>0</v>
          </cell>
          <cell r="R1287">
            <v>0</v>
          </cell>
          <cell r="S1287">
            <v>0</v>
          </cell>
          <cell r="T1287">
            <v>132</v>
          </cell>
          <cell r="U1287">
            <v>0</v>
          </cell>
          <cell r="V1287">
            <v>131.86666666762903</v>
          </cell>
          <cell r="W1287">
            <v>0</v>
          </cell>
          <cell r="X1287">
            <v>0</v>
          </cell>
          <cell r="Y1287">
            <v>0</v>
          </cell>
          <cell r="Z1287">
            <v>8703.2000000635162</v>
          </cell>
        </row>
        <row r="1288">
          <cell r="C1288" t="str">
            <v>TEKİRDAĞ</v>
          </cell>
          <cell r="D1288" t="str">
            <v>MALKARA</v>
          </cell>
          <cell r="H1288" t="str">
            <v>Dağıtım-AG</v>
          </cell>
          <cell r="I1288" t="str">
            <v>Uzun</v>
          </cell>
          <cell r="J1288" t="str">
            <v>Şebeke işletmecisi</v>
          </cell>
          <cell r="K1288" t="str">
            <v>Bildirimsiz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2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131.63333334261551</v>
          </cell>
        </row>
        <row r="1289">
          <cell r="C1289" t="str">
            <v>EDİRNE</v>
          </cell>
          <cell r="D1289" t="str">
            <v>UZUNKÖPRÜ</v>
          </cell>
          <cell r="H1289" t="str">
            <v>Dağıtım-AG</v>
          </cell>
          <cell r="I1289" t="str">
            <v>Uzun</v>
          </cell>
          <cell r="J1289" t="str">
            <v>Şebeke işletmecisi</v>
          </cell>
          <cell r="K1289" t="str">
            <v>Bildirimsiz</v>
          </cell>
          <cell r="O1289">
            <v>0</v>
          </cell>
          <cell r="P1289">
            <v>0</v>
          </cell>
          <cell r="Q1289">
            <v>0</v>
          </cell>
          <cell r="R1289">
            <v>43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2825.8166667621117</v>
          </cell>
          <cell r="Y1289">
            <v>0</v>
          </cell>
          <cell r="Z1289">
            <v>0</v>
          </cell>
        </row>
        <row r="1290">
          <cell r="C1290" t="str">
            <v>EDİRNE</v>
          </cell>
          <cell r="D1290" t="str">
            <v>ENEZ</v>
          </cell>
          <cell r="H1290" t="str">
            <v>Dağıtım-OG</v>
          </cell>
          <cell r="I1290" t="str">
            <v>Uzun</v>
          </cell>
          <cell r="J1290" t="str">
            <v>Şebeke İşletmecisi</v>
          </cell>
          <cell r="K1290" t="str">
            <v>Bildirimsiz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123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8081.0999997938052</v>
          </cell>
        </row>
        <row r="1291">
          <cell r="C1291" t="str">
            <v>EDİRNE</v>
          </cell>
          <cell r="D1291" t="str">
            <v>MERİÇ</v>
          </cell>
          <cell r="H1291" t="str">
            <v>Dağıtım-OG</v>
          </cell>
          <cell r="I1291" t="str">
            <v>Uzun</v>
          </cell>
          <cell r="J1291" t="str">
            <v>Şebeke işletmecisi</v>
          </cell>
          <cell r="K1291" t="str">
            <v>Bildirimsiz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8</v>
          </cell>
          <cell r="T1291">
            <v>766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525.06666669622064</v>
          </cell>
          <cell r="Z1291">
            <v>50275.133336163126</v>
          </cell>
        </row>
        <row r="1292">
          <cell r="C1292" t="str">
            <v>EDİRNE</v>
          </cell>
          <cell r="D1292" t="str">
            <v>KEŞAN</v>
          </cell>
          <cell r="H1292" t="str">
            <v>Dağıtım-AG</v>
          </cell>
          <cell r="I1292" t="str">
            <v>Uzun</v>
          </cell>
          <cell r="J1292" t="str">
            <v>Şebeke işletmecisi</v>
          </cell>
          <cell r="K1292" t="str">
            <v>Bildirimsiz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1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65.61666666646488</v>
          </cell>
        </row>
        <row r="1293">
          <cell r="C1293" t="str">
            <v>TEKİRDAĞ</v>
          </cell>
          <cell r="D1293" t="str">
            <v>KAPAKLI</v>
          </cell>
          <cell r="H1293" t="str">
            <v>Dağıtım-AG</v>
          </cell>
          <cell r="I1293" t="str">
            <v>Uzun</v>
          </cell>
          <cell r="J1293" t="str">
            <v>Dışsal</v>
          </cell>
          <cell r="K1293" t="str">
            <v>Bildirimsiz</v>
          </cell>
          <cell r="O1293">
            <v>0</v>
          </cell>
          <cell r="P1293">
            <v>190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12457.666666398291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</row>
        <row r="1294">
          <cell r="C1294" t="str">
            <v>EDİRNE</v>
          </cell>
          <cell r="D1294" t="str">
            <v>İPSALA</v>
          </cell>
          <cell r="H1294" t="str">
            <v>Dağıtım-OG</v>
          </cell>
          <cell r="I1294" t="str">
            <v>Uzun</v>
          </cell>
          <cell r="J1294" t="str">
            <v>Şebeke işletmecisi</v>
          </cell>
          <cell r="K1294" t="str">
            <v>Bildirimsiz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27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1770.2999999618623</v>
          </cell>
          <cell r="Z1294">
            <v>0</v>
          </cell>
        </row>
        <row r="1295">
          <cell r="C1295" t="str">
            <v>KIRKLARELİ</v>
          </cell>
          <cell r="D1295" t="str">
            <v>LÜLEBURGAZ</v>
          </cell>
          <cell r="H1295" t="str">
            <v>Dağıtım-AG</v>
          </cell>
          <cell r="I1295" t="str">
            <v>Uzun</v>
          </cell>
          <cell r="J1295" t="str">
            <v>Şebeke işletmecisi</v>
          </cell>
          <cell r="K1295" t="str">
            <v>Bildirimsiz</v>
          </cell>
          <cell r="O1295">
            <v>0</v>
          </cell>
          <cell r="P1295">
            <v>1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65.483333333395422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</row>
        <row r="1296">
          <cell r="C1296" t="str">
            <v>KIRKLARELİ</v>
          </cell>
          <cell r="D1296" t="str">
            <v>VİZE</v>
          </cell>
          <cell r="H1296" t="str">
            <v>Dağıtım-AG</v>
          </cell>
          <cell r="I1296" t="str">
            <v>Uzun</v>
          </cell>
          <cell r="J1296" t="str">
            <v>Şebeke işletmecisi</v>
          </cell>
          <cell r="K1296" t="str">
            <v>Bildirimsiz</v>
          </cell>
          <cell r="O1296">
            <v>0</v>
          </cell>
          <cell r="P1296">
            <v>0</v>
          </cell>
          <cell r="Q1296">
            <v>0</v>
          </cell>
          <cell r="R1296">
            <v>23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1505.7333332451526</v>
          </cell>
          <cell r="Y1296">
            <v>0</v>
          </cell>
          <cell r="Z1296">
            <v>0</v>
          </cell>
        </row>
        <row r="1297">
          <cell r="C1297" t="str">
            <v>TEKİRDAĞ</v>
          </cell>
          <cell r="D1297" t="str">
            <v>ÇORLU</v>
          </cell>
          <cell r="H1297" t="str">
            <v>Dağıtım-AG</v>
          </cell>
          <cell r="I1297" t="str">
            <v>Uzun</v>
          </cell>
          <cell r="J1297" t="str">
            <v>Şebeke işletmecisi</v>
          </cell>
          <cell r="K1297" t="str">
            <v>Bildirimsiz</v>
          </cell>
          <cell r="O1297">
            <v>0</v>
          </cell>
          <cell r="P1297">
            <v>39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2546.6999999654945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</row>
        <row r="1298">
          <cell r="C1298" t="str">
            <v>TEKİRDAĞ</v>
          </cell>
          <cell r="D1298" t="str">
            <v>ERGENE</v>
          </cell>
          <cell r="H1298" t="str">
            <v>Dağıtım-OG</v>
          </cell>
          <cell r="I1298" t="str">
            <v>Uzun</v>
          </cell>
          <cell r="J1298" t="str">
            <v>Şebeke işletmecisi</v>
          </cell>
          <cell r="K1298" t="str">
            <v>Bildirimsiz</v>
          </cell>
          <cell r="O1298">
            <v>7</v>
          </cell>
          <cell r="P1298">
            <v>14</v>
          </cell>
          <cell r="Q1298">
            <v>0</v>
          </cell>
          <cell r="R1298">
            <v>0</v>
          </cell>
          <cell r="S1298">
            <v>0</v>
          </cell>
          <cell r="T1298">
            <v>1</v>
          </cell>
          <cell r="U1298">
            <v>456.98333329986781</v>
          </cell>
          <cell r="V1298">
            <v>913.96666659973562</v>
          </cell>
          <cell r="W1298">
            <v>0</v>
          </cell>
          <cell r="X1298">
            <v>0</v>
          </cell>
          <cell r="Y1298">
            <v>0</v>
          </cell>
          <cell r="Z1298">
            <v>65.283333328552544</v>
          </cell>
        </row>
        <row r="1299">
          <cell r="C1299" t="str">
            <v>EDİRNE</v>
          </cell>
          <cell r="D1299" t="str">
            <v>İPSALA</v>
          </cell>
          <cell r="H1299" t="str">
            <v>Dağıtım-OG</v>
          </cell>
          <cell r="I1299" t="str">
            <v>Uzun</v>
          </cell>
          <cell r="J1299" t="str">
            <v>Şebeke işletmecisi</v>
          </cell>
          <cell r="K1299" t="str">
            <v>Bildirimsiz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1</v>
          </cell>
          <cell r="T1299">
            <v>1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65.216666667256504</v>
          </cell>
          <cell r="Z1299">
            <v>65.216666667256504</v>
          </cell>
        </row>
        <row r="1300">
          <cell r="C1300" t="str">
            <v>EDİRNE</v>
          </cell>
          <cell r="D1300" t="str">
            <v>EDİRNEMERKEZ</v>
          </cell>
          <cell r="H1300" t="str">
            <v>Dağıtım-OG</v>
          </cell>
          <cell r="I1300" t="str">
            <v>Uzun</v>
          </cell>
          <cell r="J1300" t="str">
            <v>Şebeke işletmecisi</v>
          </cell>
          <cell r="K1300" t="str">
            <v>Bildirimsiz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1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65.216666667256504</v>
          </cell>
          <cell r="Z1300">
            <v>0</v>
          </cell>
        </row>
        <row r="1301">
          <cell r="C1301" t="str">
            <v>TEKİRDAĞ</v>
          </cell>
          <cell r="D1301" t="str">
            <v>MARMARAEREĞLİSİ</v>
          </cell>
          <cell r="H1301" t="str">
            <v>Dağıtım-AG</v>
          </cell>
          <cell r="I1301" t="str">
            <v>Uzun</v>
          </cell>
          <cell r="J1301" t="str">
            <v>Şebeke işletmecisi</v>
          </cell>
          <cell r="K1301" t="str">
            <v>Bildirimsiz</v>
          </cell>
          <cell r="O1301">
            <v>0</v>
          </cell>
          <cell r="P1301">
            <v>0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65.000000002328306</v>
          </cell>
          <cell r="Y1301">
            <v>0</v>
          </cell>
          <cell r="Z1301">
            <v>0</v>
          </cell>
        </row>
        <row r="1302">
          <cell r="C1302" t="str">
            <v>TEKİRDAĞ</v>
          </cell>
          <cell r="D1302" t="str">
            <v>MURATLI</v>
          </cell>
          <cell r="H1302" t="str">
            <v>Dağıtım-OG</v>
          </cell>
          <cell r="I1302" t="str">
            <v>Uzun</v>
          </cell>
          <cell r="J1302" t="str">
            <v>Dışsal</v>
          </cell>
          <cell r="K1302" t="str">
            <v>Bildirimsiz</v>
          </cell>
          <cell r="O1302">
            <v>0</v>
          </cell>
          <cell r="P1302">
            <v>348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22619.999997164123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</row>
        <row r="1303">
          <cell r="C1303" t="str">
            <v>EDİRNE</v>
          </cell>
          <cell r="D1303" t="str">
            <v>MERİÇ</v>
          </cell>
          <cell r="H1303" t="str">
            <v>Dağıtım-OG</v>
          </cell>
          <cell r="I1303" t="str">
            <v>Uzun</v>
          </cell>
          <cell r="J1303" t="str">
            <v>Şebeke işletmecisi</v>
          </cell>
          <cell r="K1303" t="str">
            <v>Bildirimsiz</v>
          </cell>
          <cell r="O1303">
            <v>0</v>
          </cell>
          <cell r="P1303">
            <v>0</v>
          </cell>
          <cell r="Q1303">
            <v>0</v>
          </cell>
          <cell r="R1303">
            <v>888</v>
          </cell>
          <cell r="S1303">
            <v>11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57660.79999753274</v>
          </cell>
          <cell r="Y1303">
            <v>714.26666663610376</v>
          </cell>
          <cell r="Z1303">
            <v>0</v>
          </cell>
        </row>
        <row r="1304">
          <cell r="C1304" t="str">
            <v>TEKİRDAĞ</v>
          </cell>
          <cell r="D1304" t="str">
            <v>ÇORLU</v>
          </cell>
          <cell r="H1304" t="str">
            <v>Dağıtım-AG</v>
          </cell>
          <cell r="I1304" t="str">
            <v>Uzun</v>
          </cell>
          <cell r="J1304" t="str">
            <v>Şebeke işletmecisi</v>
          </cell>
          <cell r="K1304" t="str">
            <v>Bildirimsiz</v>
          </cell>
          <cell r="O1304">
            <v>0</v>
          </cell>
          <cell r="P1304">
            <v>151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9792.3499998031184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</row>
        <row r="1305">
          <cell r="C1305" t="str">
            <v>EDİRNE</v>
          </cell>
          <cell r="D1305" t="str">
            <v>HAVSA</v>
          </cell>
          <cell r="H1305" t="str">
            <v>Dağıtım-AG</v>
          </cell>
          <cell r="I1305" t="str">
            <v>Uzun</v>
          </cell>
          <cell r="J1305" t="str">
            <v>Şebeke işletmecisi</v>
          </cell>
          <cell r="K1305" t="str">
            <v>Bildirimsiz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37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2396.983333483804</v>
          </cell>
        </row>
        <row r="1306">
          <cell r="C1306" t="str">
            <v>TEKİRDAĞ</v>
          </cell>
          <cell r="D1306" t="str">
            <v>SARAY</v>
          </cell>
          <cell r="H1306" t="str">
            <v>Dağıtım-AG</v>
          </cell>
          <cell r="I1306" t="str">
            <v>Uzun</v>
          </cell>
          <cell r="J1306" t="str">
            <v>Şebeke işletmecisi</v>
          </cell>
          <cell r="K1306" t="str">
            <v>Bildirimsiz</v>
          </cell>
          <cell r="O1306">
            <v>0</v>
          </cell>
          <cell r="P1306">
            <v>0</v>
          </cell>
          <cell r="Q1306">
            <v>0</v>
          </cell>
          <cell r="R1306">
            <v>2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129.40000001108274</v>
          </cell>
          <cell r="Y1306">
            <v>0</v>
          </cell>
          <cell r="Z1306">
            <v>0</v>
          </cell>
        </row>
        <row r="1307">
          <cell r="C1307" t="str">
            <v>TEKİRDAĞ</v>
          </cell>
          <cell r="D1307" t="str">
            <v>SARAY</v>
          </cell>
          <cell r="H1307" t="str">
            <v>Dağıtım-OG</v>
          </cell>
          <cell r="I1307" t="str">
            <v>Uzun</v>
          </cell>
          <cell r="J1307" t="str">
            <v>Şebeke işletmecisi</v>
          </cell>
          <cell r="K1307" t="str">
            <v>Bildirimli</v>
          </cell>
          <cell r="O1307">
            <v>0</v>
          </cell>
          <cell r="P1307">
            <v>25</v>
          </cell>
          <cell r="Q1307">
            <v>4</v>
          </cell>
          <cell r="R1307">
            <v>350</v>
          </cell>
          <cell r="S1307">
            <v>1</v>
          </cell>
          <cell r="T1307">
            <v>0</v>
          </cell>
          <cell r="U1307">
            <v>0</v>
          </cell>
          <cell r="V1307">
            <v>1617.0833333744667</v>
          </cell>
          <cell r="W1307">
            <v>258.73333333991468</v>
          </cell>
          <cell r="X1307">
            <v>22639.166667242534</v>
          </cell>
          <cell r="Y1307">
            <v>64.68333333497867</v>
          </cell>
          <cell r="Z1307">
            <v>0</v>
          </cell>
        </row>
        <row r="1308">
          <cell r="C1308" t="str">
            <v>TEKİRDAĞ</v>
          </cell>
          <cell r="D1308" t="str">
            <v>MURATLI</v>
          </cell>
          <cell r="H1308" t="str">
            <v>Dağıtım-OG</v>
          </cell>
          <cell r="I1308" t="str">
            <v>Uzun</v>
          </cell>
          <cell r="J1308" t="str">
            <v>Şebeke işletmecisi</v>
          </cell>
          <cell r="K1308" t="str">
            <v>Bildirimsiz</v>
          </cell>
          <cell r="O1308">
            <v>2</v>
          </cell>
          <cell r="P1308">
            <v>315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129.3000000086613</v>
          </cell>
          <cell r="V1308">
            <v>20364.750001364155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</row>
        <row r="1309">
          <cell r="C1309" t="str">
            <v>KIRKLARELİ</v>
          </cell>
          <cell r="D1309" t="str">
            <v>KIRKLARELİMERKEZ</v>
          </cell>
          <cell r="H1309" t="str">
            <v>Dağıtım-OG</v>
          </cell>
          <cell r="I1309" t="str">
            <v>Uzun</v>
          </cell>
          <cell r="J1309" t="str">
            <v>Şebeke işletmecisi</v>
          </cell>
          <cell r="K1309" t="str">
            <v>Bildirimli</v>
          </cell>
          <cell r="O1309">
            <v>8</v>
          </cell>
          <cell r="P1309">
            <v>13960</v>
          </cell>
          <cell r="Q1309">
            <v>0</v>
          </cell>
          <cell r="R1309">
            <v>9</v>
          </cell>
          <cell r="S1309">
            <v>0</v>
          </cell>
          <cell r="T1309">
            <v>15</v>
          </cell>
          <cell r="U1309">
            <v>517.0666666701436</v>
          </cell>
          <cell r="V1309">
            <v>902281.33333940059</v>
          </cell>
          <cell r="W1309">
            <v>0</v>
          </cell>
          <cell r="X1309">
            <v>581.70000000391155</v>
          </cell>
          <cell r="Y1309">
            <v>0</v>
          </cell>
          <cell r="Z1309">
            <v>969.50000000651926</v>
          </cell>
        </row>
        <row r="1310">
          <cell r="C1310" t="str">
            <v>EDİRNE</v>
          </cell>
          <cell r="D1310" t="str">
            <v>KEŞAN</v>
          </cell>
          <cell r="H1310" t="str">
            <v>Dağıtım-AG</v>
          </cell>
          <cell r="I1310" t="str">
            <v>Uzun</v>
          </cell>
          <cell r="J1310" t="str">
            <v>Şebeke işletmecisi</v>
          </cell>
          <cell r="K1310" t="str">
            <v>Bildirimsiz</v>
          </cell>
          <cell r="O1310">
            <v>0</v>
          </cell>
          <cell r="P1310">
            <v>2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129.2333333264105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</row>
        <row r="1311">
          <cell r="C1311" t="str">
            <v>TEKİRDAĞ</v>
          </cell>
          <cell r="D1311" t="str">
            <v>HAYRABOLU</v>
          </cell>
          <cell r="H1311" t="str">
            <v>Dağıtım-OG</v>
          </cell>
          <cell r="I1311" t="str">
            <v>Uzun</v>
          </cell>
          <cell r="J1311" t="str">
            <v>Şebeke işletmecisi</v>
          </cell>
          <cell r="K1311" t="str">
            <v>Bildirimsiz</v>
          </cell>
          <cell r="O1311">
            <v>0</v>
          </cell>
          <cell r="P1311">
            <v>0</v>
          </cell>
          <cell r="Q1311">
            <v>1</v>
          </cell>
          <cell r="R1311">
            <v>0</v>
          </cell>
          <cell r="S1311">
            <v>3</v>
          </cell>
          <cell r="T1311">
            <v>0</v>
          </cell>
          <cell r="U1311">
            <v>0</v>
          </cell>
          <cell r="V1311">
            <v>0</v>
          </cell>
          <cell r="W1311">
            <v>64.416666668839753</v>
          </cell>
          <cell r="X1311">
            <v>0</v>
          </cell>
          <cell r="Y1311">
            <v>193.25000000651926</v>
          </cell>
          <cell r="Z1311">
            <v>0</v>
          </cell>
        </row>
        <row r="1312">
          <cell r="C1312" t="str">
            <v>TEKİRDAĞ</v>
          </cell>
          <cell r="D1312" t="str">
            <v>MARMARAEREĞLİSİ</v>
          </cell>
          <cell r="H1312" t="str">
            <v>Dağıtım-AG</v>
          </cell>
          <cell r="I1312" t="str">
            <v>Uzun</v>
          </cell>
          <cell r="J1312" t="str">
            <v>Şebeke işletmecisi</v>
          </cell>
          <cell r="K1312" t="str">
            <v>Bildirimsiz</v>
          </cell>
          <cell r="O1312">
            <v>0</v>
          </cell>
          <cell r="P1312">
            <v>0</v>
          </cell>
          <cell r="Q1312">
            <v>0</v>
          </cell>
          <cell r="R1312">
            <v>21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1351.349999938393</v>
          </cell>
          <cell r="Y1312">
            <v>0</v>
          </cell>
          <cell r="Z1312">
            <v>0</v>
          </cell>
        </row>
        <row r="1313">
          <cell r="C1313" t="str">
            <v>KIRKLARELİ</v>
          </cell>
          <cell r="D1313" t="str">
            <v>DEMİRKÖY</v>
          </cell>
          <cell r="H1313" t="str">
            <v>Dağıtım-AG</v>
          </cell>
          <cell r="I1313" t="str">
            <v>Uzun</v>
          </cell>
          <cell r="J1313" t="str">
            <v>Şebeke işletmecisi</v>
          </cell>
          <cell r="K1313" t="str">
            <v>Bildirimsiz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1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64.316666666418314</v>
          </cell>
        </row>
        <row r="1314">
          <cell r="C1314" t="str">
            <v>KIRKLARELİ</v>
          </cell>
          <cell r="D1314" t="str">
            <v>VİZE</v>
          </cell>
          <cell r="H1314" t="str">
            <v>Dağıtım-AG</v>
          </cell>
          <cell r="I1314" t="str">
            <v>Uzun</v>
          </cell>
          <cell r="J1314" t="str">
            <v>Şebeke işletmecisi</v>
          </cell>
          <cell r="K1314" t="str">
            <v>Bildirimsiz</v>
          </cell>
          <cell r="O1314">
            <v>0</v>
          </cell>
          <cell r="P1314">
            <v>0</v>
          </cell>
          <cell r="Q1314">
            <v>0</v>
          </cell>
          <cell r="R1314">
            <v>117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7525.0499999709427</v>
          </cell>
          <cell r="Y1314">
            <v>0</v>
          </cell>
          <cell r="Z1314">
            <v>0</v>
          </cell>
        </row>
        <row r="1315">
          <cell r="C1315" t="str">
            <v>KIRKLARELİ</v>
          </cell>
          <cell r="D1315" t="str">
            <v>LÜLEBURGAZ</v>
          </cell>
          <cell r="H1315" t="str">
            <v>Dağıtım-AG</v>
          </cell>
          <cell r="I1315" t="str">
            <v>Uzun</v>
          </cell>
          <cell r="J1315" t="str">
            <v>Şebeke işletmecisi</v>
          </cell>
          <cell r="K1315" t="str">
            <v>Bildirimsiz</v>
          </cell>
          <cell r="O1315">
            <v>0</v>
          </cell>
          <cell r="P1315">
            <v>17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1093.0999999295454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</row>
        <row r="1316">
          <cell r="C1316" t="str">
            <v>TEKİRDAĞ</v>
          </cell>
          <cell r="D1316" t="str">
            <v>ÇERKEZKÖY</v>
          </cell>
          <cell r="H1316" t="str">
            <v>Dağıtım-AG</v>
          </cell>
          <cell r="I1316" t="str">
            <v>Uzun</v>
          </cell>
          <cell r="J1316" t="str">
            <v>Şebeke işletmecisi</v>
          </cell>
          <cell r="K1316" t="str">
            <v>Bildirimsiz</v>
          </cell>
          <cell r="O1316">
            <v>0</v>
          </cell>
          <cell r="P1316">
            <v>37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2374.1666665230878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</row>
        <row r="1317">
          <cell r="C1317" t="str">
            <v>EDİRNE</v>
          </cell>
          <cell r="D1317" t="str">
            <v>ENEZ</v>
          </cell>
          <cell r="H1317" t="str">
            <v>Dağıtım-OG</v>
          </cell>
          <cell r="I1317" t="str">
            <v>Uzun</v>
          </cell>
          <cell r="J1317" t="str">
            <v>Şebeke İşletmecisi</v>
          </cell>
          <cell r="K1317" t="str">
            <v>Bildirimsiz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14</v>
          </cell>
          <cell r="T1317">
            <v>1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897.40000002086163</v>
          </cell>
          <cell r="Z1317">
            <v>64.100000001490116</v>
          </cell>
        </row>
        <row r="1318">
          <cell r="C1318" t="str">
            <v>TEKİRDAĞ</v>
          </cell>
          <cell r="D1318" t="str">
            <v>ERGENE</v>
          </cell>
          <cell r="H1318" t="str">
            <v>Dağıtım-AG</v>
          </cell>
          <cell r="I1318" t="str">
            <v>Uzun</v>
          </cell>
          <cell r="J1318" t="str">
            <v>Şebeke işletmecisi</v>
          </cell>
          <cell r="K1318" t="str">
            <v>Bildirimsiz</v>
          </cell>
          <cell r="O1318">
            <v>0</v>
          </cell>
          <cell r="P1318">
            <v>3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191.85000002500601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C1319" t="str">
            <v>KIRKLARELİ</v>
          </cell>
          <cell r="D1319" t="str">
            <v>VİZE</v>
          </cell>
          <cell r="H1319" t="str">
            <v>Dağıtım-AG</v>
          </cell>
          <cell r="I1319" t="str">
            <v>Uzun</v>
          </cell>
          <cell r="J1319" t="str">
            <v>Şebeke işletmecisi</v>
          </cell>
          <cell r="K1319" t="str">
            <v>Bildirimsiz</v>
          </cell>
          <cell r="O1319">
            <v>0</v>
          </cell>
          <cell r="P1319">
            <v>0</v>
          </cell>
          <cell r="Q1319">
            <v>0</v>
          </cell>
          <cell r="R1319">
            <v>36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2299.1999999759719</v>
          </cell>
          <cell r="Y1319">
            <v>0</v>
          </cell>
          <cell r="Z1319">
            <v>0</v>
          </cell>
        </row>
        <row r="1320">
          <cell r="C1320" t="str">
            <v>TEKİRDAĞ</v>
          </cell>
          <cell r="D1320" t="str">
            <v>ÇERKEZKÖY</v>
          </cell>
          <cell r="H1320" t="str">
            <v>Dağıtım-AG</v>
          </cell>
          <cell r="I1320" t="str">
            <v>Uzun</v>
          </cell>
          <cell r="J1320" t="str">
            <v>Şebeke işletmecisi</v>
          </cell>
          <cell r="K1320" t="str">
            <v>Bildirimsiz</v>
          </cell>
          <cell r="O1320">
            <v>0</v>
          </cell>
          <cell r="P1320">
            <v>26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1654.9000000278465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</row>
        <row r="1321">
          <cell r="C1321" t="str">
            <v>TEKİRDAĞ</v>
          </cell>
          <cell r="D1321" t="str">
            <v>SÜLEYMANPAŞA</v>
          </cell>
          <cell r="H1321" t="str">
            <v>Dağıtım-OG</v>
          </cell>
          <cell r="I1321" t="str">
            <v>Uzun</v>
          </cell>
          <cell r="J1321" t="str">
            <v>Şebeke işletmecisi</v>
          </cell>
          <cell r="K1321" t="str">
            <v>Bildirimsiz</v>
          </cell>
          <cell r="O1321">
            <v>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63.633333330508322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</row>
        <row r="1322">
          <cell r="C1322" t="str">
            <v>TEKİRDAĞ</v>
          </cell>
          <cell r="D1322" t="str">
            <v>KAPAKLI</v>
          </cell>
          <cell r="H1322" t="str">
            <v>Dağıtım-AG</v>
          </cell>
          <cell r="I1322" t="str">
            <v>Uzun</v>
          </cell>
          <cell r="J1322" t="str">
            <v>Şebeke işletmecisi</v>
          </cell>
          <cell r="K1322" t="str">
            <v>Bildirimsiz</v>
          </cell>
          <cell r="O1322">
            <v>0</v>
          </cell>
          <cell r="P1322">
            <v>7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445.19999999902211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</row>
        <row r="1323">
          <cell r="C1323" t="str">
            <v>KIRKLARELİ</v>
          </cell>
          <cell r="D1323" t="str">
            <v>LÜLEBURGAZ</v>
          </cell>
          <cell r="H1323" t="str">
            <v>Dağıtım-AG</v>
          </cell>
          <cell r="I1323" t="str">
            <v>Uzun</v>
          </cell>
          <cell r="J1323" t="str">
            <v>Şebeke işletmecisi</v>
          </cell>
          <cell r="K1323" t="str">
            <v>Bildirimsiz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72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4570.8000002894551</v>
          </cell>
        </row>
        <row r="1324">
          <cell r="C1324" t="str">
            <v>TEKİRDAĞ</v>
          </cell>
          <cell r="D1324" t="str">
            <v>ŞARKÖY</v>
          </cell>
          <cell r="H1324" t="str">
            <v>Dağıtım-AG</v>
          </cell>
          <cell r="I1324" t="str">
            <v>Uzun</v>
          </cell>
          <cell r="J1324" t="str">
            <v>Şebeke işletmecisi</v>
          </cell>
          <cell r="K1324" t="str">
            <v>Bildirimsiz</v>
          </cell>
          <cell r="O1324">
            <v>0</v>
          </cell>
          <cell r="P1324">
            <v>0</v>
          </cell>
          <cell r="Q1324">
            <v>0</v>
          </cell>
          <cell r="R1324">
            <v>1</v>
          </cell>
          <cell r="S1324">
            <v>0</v>
          </cell>
          <cell r="T1324">
            <v>5</v>
          </cell>
          <cell r="U1324">
            <v>0</v>
          </cell>
          <cell r="V1324">
            <v>0</v>
          </cell>
          <cell r="W1324">
            <v>0</v>
          </cell>
          <cell r="X1324">
            <v>63.416666665580124</v>
          </cell>
          <cell r="Y1324">
            <v>0</v>
          </cell>
          <cell r="Z1324">
            <v>317.08333332790062</v>
          </cell>
        </row>
        <row r="1325">
          <cell r="C1325" t="str">
            <v>TEKİRDAĞ</v>
          </cell>
          <cell r="D1325" t="str">
            <v>ÇERKEZKÖY</v>
          </cell>
          <cell r="H1325" t="str">
            <v>Dağıtım-OG</v>
          </cell>
          <cell r="I1325" t="str">
            <v>Uzun</v>
          </cell>
          <cell r="J1325" t="str">
            <v>Şebeke işletmecisi</v>
          </cell>
          <cell r="K1325" t="str">
            <v>Bildirimli</v>
          </cell>
          <cell r="O1325">
            <v>0</v>
          </cell>
          <cell r="P1325">
            <v>930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58930.999997863546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</row>
        <row r="1326">
          <cell r="C1326" t="str">
            <v>TEKİRDAĞ</v>
          </cell>
          <cell r="D1326" t="str">
            <v>ÇERKEZKÖY</v>
          </cell>
          <cell r="H1326" t="str">
            <v>Dağıtım-OG</v>
          </cell>
          <cell r="I1326" t="str">
            <v>Uzun</v>
          </cell>
          <cell r="J1326" t="str">
            <v>Şebeke işletmecisi</v>
          </cell>
          <cell r="K1326" t="str">
            <v>Bildirimsiz</v>
          </cell>
          <cell r="O1326">
            <v>27</v>
          </cell>
          <cell r="P1326">
            <v>1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1710.8999999379739</v>
          </cell>
          <cell r="V1326">
            <v>63.366666664369404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</row>
        <row r="1327">
          <cell r="C1327" t="str">
            <v>KIRKLARELİ</v>
          </cell>
          <cell r="D1327" t="str">
            <v>BABAESKİ</v>
          </cell>
          <cell r="H1327" t="str">
            <v>Dağıtım-AG</v>
          </cell>
          <cell r="I1327" t="str">
            <v>Uzun</v>
          </cell>
          <cell r="J1327" t="str">
            <v>Şebeke işletmecisi</v>
          </cell>
          <cell r="K1327" t="str">
            <v>Bildirimsiz</v>
          </cell>
          <cell r="O1327">
            <v>0</v>
          </cell>
          <cell r="P1327">
            <v>0</v>
          </cell>
          <cell r="Q1327">
            <v>0</v>
          </cell>
          <cell r="R1327">
            <v>32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2023.4666666015983</v>
          </cell>
          <cell r="Y1327">
            <v>0</v>
          </cell>
          <cell r="Z1327">
            <v>0</v>
          </cell>
        </row>
        <row r="1328">
          <cell r="C1328" t="str">
            <v>TEKİRDAĞ</v>
          </cell>
          <cell r="D1328" t="str">
            <v>ÇERKEZKÖY</v>
          </cell>
          <cell r="H1328" t="str">
            <v>Dağıtım-OG</v>
          </cell>
          <cell r="I1328" t="str">
            <v>Uzun</v>
          </cell>
          <cell r="J1328" t="str">
            <v>Şebeke İşletmecisi</v>
          </cell>
          <cell r="K1328" t="str">
            <v>Bildirimsiz</v>
          </cell>
          <cell r="O1328">
            <v>7</v>
          </cell>
          <cell r="P1328">
            <v>4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441.69999998761341</v>
          </cell>
          <cell r="V1328">
            <v>252.39999999292195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</row>
        <row r="1329">
          <cell r="C1329" t="str">
            <v>EDİRNE</v>
          </cell>
          <cell r="D1329" t="str">
            <v>ENEZ</v>
          </cell>
          <cell r="H1329" t="str">
            <v>Dağıtım-OG</v>
          </cell>
          <cell r="I1329" t="str">
            <v>Uzun</v>
          </cell>
          <cell r="J1329" t="str">
            <v>Şebeke İşletmecisi</v>
          </cell>
          <cell r="K1329" t="str">
            <v>Bildirimsiz</v>
          </cell>
          <cell r="O1329">
            <v>0</v>
          </cell>
          <cell r="P1329">
            <v>0</v>
          </cell>
          <cell r="Q1329">
            <v>45</v>
          </cell>
          <cell r="R1329">
            <v>0</v>
          </cell>
          <cell r="S1329">
            <v>6</v>
          </cell>
          <cell r="T1329">
            <v>2</v>
          </cell>
          <cell r="U1329">
            <v>0</v>
          </cell>
          <cell r="V1329">
            <v>0</v>
          </cell>
          <cell r="W1329">
            <v>2838.7500002165325</v>
          </cell>
          <cell r="X1329">
            <v>0</v>
          </cell>
          <cell r="Y1329">
            <v>378.500000028871</v>
          </cell>
          <cell r="Z1329">
            <v>126.16666667629033</v>
          </cell>
        </row>
        <row r="1330">
          <cell r="C1330" t="str">
            <v>EDİRNE</v>
          </cell>
          <cell r="D1330" t="str">
            <v>EDİRNEMERKEZ</v>
          </cell>
          <cell r="H1330" t="str">
            <v>Dağıtım-AG</v>
          </cell>
          <cell r="I1330" t="str">
            <v>Uzun</v>
          </cell>
          <cell r="J1330" t="str">
            <v>Şebeke işletmecisi</v>
          </cell>
          <cell r="K1330" t="str">
            <v>Bildirimsiz</v>
          </cell>
          <cell r="O1330">
            <v>0</v>
          </cell>
          <cell r="P1330">
            <v>9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566.85000002151355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</row>
        <row r="1331">
          <cell r="C1331" t="str">
            <v>TEKİRDAĞ</v>
          </cell>
          <cell r="D1331" t="str">
            <v>HAYRABOLU</v>
          </cell>
          <cell r="H1331" t="str">
            <v>Dağıtım-OG</v>
          </cell>
          <cell r="I1331" t="str">
            <v>Uzun</v>
          </cell>
          <cell r="J1331" t="str">
            <v>Şebeke işletmecisi</v>
          </cell>
          <cell r="K1331" t="str">
            <v>Bildirimsiz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20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1257.6666666660458</v>
          </cell>
        </row>
        <row r="1332">
          <cell r="C1332" t="str">
            <v>KIRKLARELİ</v>
          </cell>
          <cell r="D1332" t="str">
            <v>PEHLİVANKÖY</v>
          </cell>
          <cell r="H1332" t="str">
            <v>Dağıtım-OG</v>
          </cell>
          <cell r="I1332" t="str">
            <v>Uzun</v>
          </cell>
          <cell r="J1332" t="str">
            <v>Şebeke işletmecisi</v>
          </cell>
          <cell r="K1332" t="str">
            <v>Bildirimsiz</v>
          </cell>
          <cell r="O1332">
            <v>0</v>
          </cell>
          <cell r="P1332">
            <v>0</v>
          </cell>
          <cell r="Q1332">
            <v>2</v>
          </cell>
          <cell r="R1332">
            <v>1285</v>
          </cell>
          <cell r="S1332">
            <v>15</v>
          </cell>
          <cell r="T1332">
            <v>628</v>
          </cell>
          <cell r="U1332">
            <v>0</v>
          </cell>
          <cell r="V1332">
            <v>0</v>
          </cell>
          <cell r="W1332">
            <v>125.73333334643394</v>
          </cell>
          <cell r="X1332">
            <v>80783.666675083805</v>
          </cell>
          <cell r="Y1332">
            <v>943.00000009825453</v>
          </cell>
          <cell r="Z1332">
            <v>39480.266670780256</v>
          </cell>
        </row>
        <row r="1333">
          <cell r="C1333" t="str">
            <v>KIRKLARELİ</v>
          </cell>
          <cell r="D1333" t="str">
            <v>KIRKLARELİMERKEZ</v>
          </cell>
          <cell r="H1333" t="str">
            <v>Dağıtım-AG</v>
          </cell>
          <cell r="I1333" t="str">
            <v>Uzun</v>
          </cell>
          <cell r="J1333" t="str">
            <v>Şebeke işletmecisi</v>
          </cell>
          <cell r="K1333" t="str">
            <v>Bildirimli</v>
          </cell>
          <cell r="O1333">
            <v>0</v>
          </cell>
          <cell r="P1333">
            <v>242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15201.633334625512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</row>
        <row r="1334">
          <cell r="C1334" t="str">
            <v>EDİRNE</v>
          </cell>
          <cell r="D1334" t="str">
            <v>UZUNKÖPRÜ</v>
          </cell>
          <cell r="H1334" t="str">
            <v>Dağıtım-OG</v>
          </cell>
          <cell r="I1334" t="str">
            <v>Uzun</v>
          </cell>
          <cell r="J1334" t="str">
            <v>Şebeke İşletmecisi</v>
          </cell>
          <cell r="K1334" t="str">
            <v>Bildirimsiz</v>
          </cell>
          <cell r="O1334">
            <v>19</v>
          </cell>
          <cell r="P1334">
            <v>25</v>
          </cell>
          <cell r="Q1334">
            <v>0</v>
          </cell>
          <cell r="R1334">
            <v>11</v>
          </cell>
          <cell r="S1334">
            <v>110</v>
          </cell>
          <cell r="T1334">
            <v>5243</v>
          </cell>
          <cell r="U1334">
            <v>1191.6166667221114</v>
          </cell>
          <cell r="V1334">
            <v>1567.9166667396203</v>
          </cell>
          <cell r="W1334">
            <v>0</v>
          </cell>
          <cell r="X1334">
            <v>689.88333336543292</v>
          </cell>
          <cell r="Y1334">
            <v>6898.8333336543292</v>
          </cell>
          <cell r="Z1334">
            <v>328823.48334863316</v>
          </cell>
        </row>
        <row r="1335">
          <cell r="C1335" t="str">
            <v>KIRKLARELİ</v>
          </cell>
          <cell r="D1335" t="str">
            <v>PINARHİSAR</v>
          </cell>
          <cell r="H1335" t="str">
            <v>Dağıtım-OG</v>
          </cell>
          <cell r="I1335" t="str">
            <v>Uzun</v>
          </cell>
          <cell r="J1335" t="str">
            <v>Şebeke işletmecisi</v>
          </cell>
          <cell r="K1335" t="str">
            <v>Bildirimsiz</v>
          </cell>
          <cell r="O1335">
            <v>0</v>
          </cell>
          <cell r="P1335">
            <v>0</v>
          </cell>
          <cell r="Q1335">
            <v>0</v>
          </cell>
          <cell r="R1335">
            <v>642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40253.399999372195</v>
          </cell>
          <cell r="Y1335">
            <v>0</v>
          </cell>
          <cell r="Z1335">
            <v>0</v>
          </cell>
        </row>
        <row r="1336">
          <cell r="C1336" t="str">
            <v>TEKİRDAĞ</v>
          </cell>
          <cell r="D1336" t="str">
            <v>ERGENE</v>
          </cell>
          <cell r="H1336" t="str">
            <v>Dağıtım-OG</v>
          </cell>
          <cell r="I1336" t="str">
            <v>Uzun</v>
          </cell>
          <cell r="J1336" t="str">
            <v>Şebeke işletmecisi</v>
          </cell>
          <cell r="K1336" t="str">
            <v>Bildirimsiz</v>
          </cell>
          <cell r="O1336">
            <v>1</v>
          </cell>
          <cell r="P1336">
            <v>0</v>
          </cell>
          <cell r="Q1336">
            <v>0</v>
          </cell>
          <cell r="R1336">
            <v>0</v>
          </cell>
          <cell r="S1336">
            <v>1</v>
          </cell>
          <cell r="T1336">
            <v>43</v>
          </cell>
          <cell r="U1336">
            <v>62.666666668374091</v>
          </cell>
          <cell r="V1336">
            <v>0</v>
          </cell>
          <cell r="W1336">
            <v>0</v>
          </cell>
          <cell r="X1336">
            <v>0</v>
          </cell>
          <cell r="Y1336">
            <v>62.666666668374091</v>
          </cell>
          <cell r="Z1336">
            <v>2694.6666667400859</v>
          </cell>
        </row>
        <row r="1337">
          <cell r="C1337" t="str">
            <v>TEKİRDAĞ</v>
          </cell>
          <cell r="D1337" t="str">
            <v>MURATLI</v>
          </cell>
          <cell r="H1337" t="str">
            <v>Dağıtım-AG</v>
          </cell>
          <cell r="I1337" t="str">
            <v>Uzun</v>
          </cell>
          <cell r="J1337" t="str">
            <v>Şebeke işletmecisi</v>
          </cell>
          <cell r="K1337" t="str">
            <v>Bildirimsiz</v>
          </cell>
          <cell r="O1337">
            <v>0</v>
          </cell>
          <cell r="P1337">
            <v>1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62.650000008288771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</row>
        <row r="1338">
          <cell r="C1338" t="str">
            <v>TEKİRDAĞ</v>
          </cell>
          <cell r="D1338" t="str">
            <v>SÜLEYMANPAŞA</v>
          </cell>
          <cell r="H1338" t="str">
            <v>Dağıtım-OG</v>
          </cell>
          <cell r="I1338" t="str">
            <v>Uzun</v>
          </cell>
          <cell r="J1338" t="str">
            <v>Şebeke işletmecisi</v>
          </cell>
          <cell r="K1338" t="str">
            <v>Bildirimsiz</v>
          </cell>
          <cell r="O1338">
            <v>2</v>
          </cell>
          <cell r="P1338">
            <v>280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125.26666665449739</v>
          </cell>
          <cell r="V1338">
            <v>17537.333331629634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</row>
        <row r="1339">
          <cell r="C1339" t="str">
            <v>EDİRNE</v>
          </cell>
          <cell r="D1339" t="str">
            <v>UZUNKÖPRÜ</v>
          </cell>
          <cell r="H1339" t="str">
            <v>Dağıtım-OG</v>
          </cell>
          <cell r="I1339" t="str">
            <v>Uzun</v>
          </cell>
          <cell r="J1339" t="str">
            <v>Şebeke işletmecisi</v>
          </cell>
          <cell r="K1339" t="str">
            <v>Bildirimsiz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190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11890.833333937917</v>
          </cell>
        </row>
        <row r="1340">
          <cell r="C1340" t="str">
            <v>KIRKLARELİ</v>
          </cell>
          <cell r="D1340" t="str">
            <v>KOFÇAZ</v>
          </cell>
          <cell r="H1340" t="str">
            <v>Dağıtım-AG</v>
          </cell>
          <cell r="I1340" t="str">
            <v>Uzun</v>
          </cell>
          <cell r="J1340" t="str">
            <v>Şebeke işletmecisi</v>
          </cell>
          <cell r="K1340" t="str">
            <v>Bildirimsiz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6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375.49999995622784</v>
          </cell>
        </row>
        <row r="1341">
          <cell r="C1341" t="str">
            <v>TEKİRDAĞ</v>
          </cell>
          <cell r="D1341" t="str">
            <v>SÜLEYMANPAŞA</v>
          </cell>
          <cell r="H1341" t="str">
            <v>Dağıtım-AG</v>
          </cell>
          <cell r="I1341" t="str">
            <v>Uzun</v>
          </cell>
          <cell r="J1341" t="str">
            <v>Şebeke işletmecisi</v>
          </cell>
          <cell r="K1341" t="str">
            <v>Bildirimsiz</v>
          </cell>
          <cell r="O1341">
            <v>0</v>
          </cell>
          <cell r="P1341">
            <v>55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3441.1666666273959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</row>
        <row r="1342">
          <cell r="C1342" t="str">
            <v>TEKİRDAĞ</v>
          </cell>
          <cell r="D1342" t="str">
            <v>SÜLEYMANPAŞA</v>
          </cell>
          <cell r="H1342" t="str">
            <v>Dağıtım-AG</v>
          </cell>
          <cell r="I1342" t="str">
            <v>Uzun</v>
          </cell>
          <cell r="J1342" t="str">
            <v>Şebeke işletmecisi</v>
          </cell>
          <cell r="K1342" t="str">
            <v>Bildirimsiz</v>
          </cell>
          <cell r="O1342">
            <v>0</v>
          </cell>
          <cell r="P1342">
            <v>3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187.10000001476146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</row>
        <row r="1343">
          <cell r="C1343" t="str">
            <v>TEKİRDAĞ</v>
          </cell>
          <cell r="D1343" t="str">
            <v>ERGENE</v>
          </cell>
          <cell r="H1343" t="str">
            <v>Dağıtım-AG</v>
          </cell>
          <cell r="I1343" t="str">
            <v>Uzun</v>
          </cell>
          <cell r="J1343" t="str">
            <v>Şebeke işletmecisi</v>
          </cell>
          <cell r="K1343" t="str">
            <v>Bildirimsiz</v>
          </cell>
          <cell r="O1343">
            <v>0</v>
          </cell>
          <cell r="P1343">
            <v>116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7232.6000001188368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</row>
        <row r="1344">
          <cell r="C1344" t="str">
            <v>TEKİRDAĞ</v>
          </cell>
          <cell r="D1344" t="str">
            <v>MARMARAEREĞLİSİ</v>
          </cell>
          <cell r="H1344" t="str">
            <v>Dağıtım-AG</v>
          </cell>
          <cell r="I1344" t="str">
            <v>Uzun</v>
          </cell>
          <cell r="J1344" t="str">
            <v>Şebeke İşletmecisi</v>
          </cell>
          <cell r="K1344" t="str">
            <v>Bildirimsiz</v>
          </cell>
          <cell r="O1344">
            <v>0</v>
          </cell>
          <cell r="P1344">
            <v>0</v>
          </cell>
          <cell r="Q1344">
            <v>0</v>
          </cell>
          <cell r="R1344">
            <v>5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311.49999999906868</v>
          </cell>
          <cell r="Y1344">
            <v>0</v>
          </cell>
          <cell r="Z1344">
            <v>0</v>
          </cell>
        </row>
        <row r="1345">
          <cell r="C1345" t="str">
            <v>KIRKLARELİ</v>
          </cell>
          <cell r="D1345" t="str">
            <v>VİZE</v>
          </cell>
          <cell r="H1345" t="str">
            <v>Dağıtım-OG</v>
          </cell>
          <cell r="I1345" t="str">
            <v>Uzun</v>
          </cell>
          <cell r="J1345" t="str">
            <v>Şebeke işletmecisi</v>
          </cell>
          <cell r="K1345" t="str">
            <v>Bildirimsiz</v>
          </cell>
          <cell r="O1345">
            <v>0</v>
          </cell>
          <cell r="P1345">
            <v>1</v>
          </cell>
          <cell r="Q1345">
            <v>6</v>
          </cell>
          <cell r="R1345">
            <v>0</v>
          </cell>
          <cell r="S1345">
            <v>34</v>
          </cell>
          <cell r="T1345">
            <v>1382</v>
          </cell>
          <cell r="U1345">
            <v>0</v>
          </cell>
          <cell r="V1345">
            <v>62.299999999813735</v>
          </cell>
          <cell r="W1345">
            <v>373.79999999888241</v>
          </cell>
          <cell r="X1345">
            <v>0</v>
          </cell>
          <cell r="Y1345">
            <v>2118.199999993667</v>
          </cell>
          <cell r="Z1345">
            <v>86098.599999742582</v>
          </cell>
        </row>
        <row r="1346">
          <cell r="C1346" t="str">
            <v>KIRKLARELİ</v>
          </cell>
          <cell r="D1346" t="str">
            <v>LÜLEBURGAZ</v>
          </cell>
          <cell r="H1346" t="str">
            <v>Dağıtım-OG</v>
          </cell>
          <cell r="I1346" t="str">
            <v>Uzun</v>
          </cell>
          <cell r="J1346" t="str">
            <v>Şebeke işletmecisi</v>
          </cell>
          <cell r="K1346" t="str">
            <v>Bildirimsiz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3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186.80000000749715</v>
          </cell>
          <cell r="Z1346">
            <v>0</v>
          </cell>
        </row>
        <row r="1347">
          <cell r="C1347" t="str">
            <v>TEKİRDAĞ</v>
          </cell>
          <cell r="D1347" t="str">
            <v>HAYRABOLU</v>
          </cell>
          <cell r="H1347" t="str">
            <v>Dağıtım-OG</v>
          </cell>
          <cell r="I1347" t="str">
            <v>Uzun</v>
          </cell>
          <cell r="J1347" t="str">
            <v>Şebeke işletmecisi</v>
          </cell>
          <cell r="K1347" t="str">
            <v>Bildirimli</v>
          </cell>
          <cell r="O1347">
            <v>0</v>
          </cell>
          <cell r="P1347">
            <v>1</v>
          </cell>
          <cell r="Q1347">
            <v>8</v>
          </cell>
          <cell r="R1347">
            <v>0</v>
          </cell>
          <cell r="S1347">
            <v>0</v>
          </cell>
          <cell r="T1347">
            <v>258</v>
          </cell>
          <cell r="U1347">
            <v>0</v>
          </cell>
          <cell r="V1347">
            <v>62.150000006658956</v>
          </cell>
          <cell r="W1347">
            <v>497.20000005327165</v>
          </cell>
          <cell r="X1347">
            <v>0</v>
          </cell>
          <cell r="Y1347">
            <v>0</v>
          </cell>
          <cell r="Z1347">
            <v>16034.700001718011</v>
          </cell>
        </row>
        <row r="1348">
          <cell r="C1348" t="str">
            <v>TEKİRDAĞ</v>
          </cell>
          <cell r="D1348" t="str">
            <v>SÜLEYMANPAŞA</v>
          </cell>
          <cell r="H1348" t="str">
            <v>Dağıtım-AG</v>
          </cell>
          <cell r="I1348" t="str">
            <v>Uzun</v>
          </cell>
          <cell r="J1348" t="str">
            <v>Şebeke işletmecisi</v>
          </cell>
          <cell r="K1348" t="str">
            <v>Bildirimsiz</v>
          </cell>
          <cell r="O1348">
            <v>0</v>
          </cell>
          <cell r="P1348">
            <v>30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1863.0000001634471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</row>
        <row r="1349">
          <cell r="C1349" t="str">
            <v>EDİRNE</v>
          </cell>
          <cell r="D1349" t="str">
            <v>ENEZ</v>
          </cell>
          <cell r="H1349" t="str">
            <v>Dağıtım-OG</v>
          </cell>
          <cell r="I1349" t="str">
            <v>Uzun</v>
          </cell>
          <cell r="J1349" t="str">
            <v>Şebeke İşletmecisi</v>
          </cell>
          <cell r="K1349" t="str">
            <v>Bildirimsiz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14</v>
          </cell>
          <cell r="T1349">
            <v>1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866.36666676728055</v>
          </cell>
          <cell r="Z1349">
            <v>61.883333340520039</v>
          </cell>
        </row>
        <row r="1350">
          <cell r="C1350" t="str">
            <v>EDİRNE</v>
          </cell>
          <cell r="D1350" t="str">
            <v>KEŞAN</v>
          </cell>
          <cell r="H1350" t="str">
            <v>Dağıtım-AG</v>
          </cell>
          <cell r="I1350" t="str">
            <v>Uzun</v>
          </cell>
          <cell r="J1350" t="str">
            <v>Şebeke işletmecisi</v>
          </cell>
          <cell r="K1350" t="str">
            <v>Bildirimsiz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4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247.46666667982936</v>
          </cell>
        </row>
        <row r="1351">
          <cell r="C1351" t="str">
            <v>TEKİRDAĞ</v>
          </cell>
          <cell r="D1351" t="str">
            <v>SÜLEYMANPAŞA</v>
          </cell>
          <cell r="H1351" t="str">
            <v>Dağıtım-AG</v>
          </cell>
          <cell r="I1351" t="str">
            <v>Uzun</v>
          </cell>
          <cell r="J1351" t="str">
            <v>Şebeke işletmecisi</v>
          </cell>
          <cell r="K1351" t="str">
            <v>Bildirimsiz</v>
          </cell>
          <cell r="O1351">
            <v>0</v>
          </cell>
          <cell r="P1351">
            <v>50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3091.666666965466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</row>
        <row r="1352">
          <cell r="C1352" t="str">
            <v>TEKİRDAĞ</v>
          </cell>
          <cell r="D1352" t="str">
            <v>SÜLEYMANPAŞA</v>
          </cell>
          <cell r="H1352" t="str">
            <v>Dağıtım-AG</v>
          </cell>
          <cell r="I1352" t="str">
            <v>Uzun</v>
          </cell>
          <cell r="J1352" t="str">
            <v>Şebeke işletmecisi</v>
          </cell>
          <cell r="K1352" t="str">
            <v>Bildirimsiz</v>
          </cell>
          <cell r="O1352">
            <v>0</v>
          </cell>
          <cell r="P1352">
            <v>8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494.53333334997296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</row>
        <row r="1353">
          <cell r="C1353" t="str">
            <v>TEKİRDAĞ</v>
          </cell>
          <cell r="D1353" t="str">
            <v>ÇORLU</v>
          </cell>
          <cell r="H1353" t="str">
            <v>Dağıtım-AG</v>
          </cell>
          <cell r="I1353" t="str">
            <v>Uzun</v>
          </cell>
          <cell r="J1353" t="str">
            <v>Şebeke işletmecisi</v>
          </cell>
          <cell r="K1353" t="str">
            <v>Bildirimsiz</v>
          </cell>
          <cell r="O1353">
            <v>0</v>
          </cell>
          <cell r="P1353">
            <v>348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21494.800000302494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</row>
        <row r="1354">
          <cell r="C1354" t="str">
            <v>TEKİRDAĞ</v>
          </cell>
          <cell r="D1354" t="str">
            <v>KAPAKLI</v>
          </cell>
          <cell r="H1354" t="str">
            <v>Dağıtım-AG</v>
          </cell>
          <cell r="I1354" t="str">
            <v>Uzun</v>
          </cell>
          <cell r="J1354" t="str">
            <v>Şebeke işletmecisi</v>
          </cell>
          <cell r="K1354" t="str">
            <v>Bildirimsiz</v>
          </cell>
          <cell r="O1354">
            <v>0</v>
          </cell>
          <cell r="P1354">
            <v>576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35567.999998256564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</row>
        <row r="1355">
          <cell r="C1355" t="str">
            <v>KIRKLARELİ</v>
          </cell>
          <cell r="D1355" t="str">
            <v>KOFÇAZ</v>
          </cell>
          <cell r="H1355" t="str">
            <v>Dağıtım-OG</v>
          </cell>
          <cell r="I1355" t="str">
            <v>Uzun</v>
          </cell>
          <cell r="J1355" t="str">
            <v>Şebeke işletmecisi</v>
          </cell>
          <cell r="K1355" t="str">
            <v>Bildirimsiz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7</v>
          </cell>
          <cell r="T1355">
            <v>59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432.13333335821517</v>
          </cell>
          <cell r="Z1355">
            <v>3642.266666876385</v>
          </cell>
        </row>
        <row r="1356">
          <cell r="C1356" t="str">
            <v>KIRKLARELİ</v>
          </cell>
          <cell r="D1356" t="str">
            <v>KOFÇAZ</v>
          </cell>
          <cell r="H1356" t="str">
            <v>Dağıtım-AG</v>
          </cell>
          <cell r="I1356" t="str">
            <v>Uzun</v>
          </cell>
          <cell r="J1356" t="str">
            <v>Şebeke işletmecisi</v>
          </cell>
          <cell r="K1356" t="str">
            <v>Bildirimsiz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5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308.58333333162591</v>
          </cell>
        </row>
        <row r="1357">
          <cell r="C1357" t="str">
            <v>TEKİRDAĞ</v>
          </cell>
          <cell r="D1357" t="str">
            <v>MARMARAEREĞLİSİ</v>
          </cell>
          <cell r="H1357" t="str">
            <v>Dağıtım-AG</v>
          </cell>
          <cell r="I1357" t="str">
            <v>Uzun</v>
          </cell>
          <cell r="J1357" t="str">
            <v>Şebeke işletmecisi</v>
          </cell>
          <cell r="K1357" t="str">
            <v>Bildirimsiz</v>
          </cell>
          <cell r="O1357">
            <v>0</v>
          </cell>
          <cell r="P1357">
            <v>12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740.59999999590218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</row>
        <row r="1358">
          <cell r="C1358" t="str">
            <v>EDİRNE</v>
          </cell>
          <cell r="D1358" t="str">
            <v>UZUNKÖPRÜ</v>
          </cell>
          <cell r="H1358" t="str">
            <v>Dağıtım-AG</v>
          </cell>
          <cell r="I1358" t="str">
            <v>Uzun</v>
          </cell>
          <cell r="J1358" t="str">
            <v>Şebeke işletmecisi</v>
          </cell>
          <cell r="K1358" t="str">
            <v>Bildirimsiz</v>
          </cell>
          <cell r="O1358">
            <v>0</v>
          </cell>
          <cell r="P1358">
            <v>0</v>
          </cell>
          <cell r="Q1358">
            <v>0</v>
          </cell>
          <cell r="R1358">
            <v>110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6781.5000005532056</v>
          </cell>
          <cell r="Y1358">
            <v>0</v>
          </cell>
          <cell r="Z1358">
            <v>0</v>
          </cell>
        </row>
        <row r="1359">
          <cell r="C1359" t="str">
            <v>TEKİRDAĞ</v>
          </cell>
          <cell r="D1359" t="str">
            <v>KAPAKLI</v>
          </cell>
          <cell r="H1359" t="str">
            <v>Dağıtım-AG</v>
          </cell>
          <cell r="I1359" t="str">
            <v>Uzun</v>
          </cell>
          <cell r="J1359" t="str">
            <v>Şebeke işletmecisi</v>
          </cell>
          <cell r="K1359" t="str">
            <v>Bildirimsiz</v>
          </cell>
          <cell r="O1359">
            <v>0</v>
          </cell>
          <cell r="P1359">
            <v>166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10220.066667746287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C1360" t="str">
            <v>TEKİRDAĞ</v>
          </cell>
          <cell r="D1360" t="str">
            <v>SÜLEYMANPAŞA</v>
          </cell>
          <cell r="H1360" t="str">
            <v>Dağıtım-AG</v>
          </cell>
          <cell r="I1360" t="str">
            <v>Uzun</v>
          </cell>
          <cell r="J1360" t="str">
            <v>Şebeke işletmecisi</v>
          </cell>
          <cell r="K1360" t="str">
            <v>Bildirimsiz</v>
          </cell>
          <cell r="O1360">
            <v>0</v>
          </cell>
          <cell r="P1360">
            <v>67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4124.9666664004326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C1361" t="str">
            <v>EDİRNE</v>
          </cell>
          <cell r="D1361" t="str">
            <v>KEŞAN</v>
          </cell>
          <cell r="H1361" t="str">
            <v>Dağıtım-AG</v>
          </cell>
          <cell r="I1361" t="str">
            <v>Uzun</v>
          </cell>
          <cell r="J1361" t="str">
            <v>Şebeke işletmecisi</v>
          </cell>
          <cell r="K1361" t="str">
            <v>Bildirimsiz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15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921.25000004307367</v>
          </cell>
        </row>
        <row r="1362">
          <cell r="C1362" t="str">
            <v>TEKİRDAĞ</v>
          </cell>
          <cell r="D1362" t="str">
            <v>ÇERKEZKÖY</v>
          </cell>
          <cell r="H1362" t="str">
            <v>Dağıtım-AG</v>
          </cell>
          <cell r="I1362" t="str">
            <v>Uzun</v>
          </cell>
          <cell r="J1362" t="str">
            <v>Dışsal</v>
          </cell>
          <cell r="K1362" t="str">
            <v>Bildirimsiz</v>
          </cell>
          <cell r="O1362">
            <v>0</v>
          </cell>
          <cell r="P1362">
            <v>1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61.366666668327525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</row>
        <row r="1363">
          <cell r="C1363" t="str">
            <v>TEKİRDAĞ</v>
          </cell>
          <cell r="D1363" t="str">
            <v>MALKARA</v>
          </cell>
          <cell r="H1363" t="str">
            <v>Dağıtım-AG</v>
          </cell>
          <cell r="I1363" t="str">
            <v>Uzun</v>
          </cell>
          <cell r="J1363" t="str">
            <v>Şebeke işletmecisi</v>
          </cell>
          <cell r="K1363" t="str">
            <v>Bildirimsiz</v>
          </cell>
          <cell r="O1363">
            <v>0</v>
          </cell>
          <cell r="P1363">
            <v>33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2021.7999999749009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</row>
        <row r="1364">
          <cell r="C1364" t="str">
            <v>TEKİRDAĞ</v>
          </cell>
          <cell r="D1364" t="str">
            <v>SÜLEYMANPAŞA</v>
          </cell>
          <cell r="H1364" t="str">
            <v>Dağıtım-AG</v>
          </cell>
          <cell r="I1364" t="str">
            <v>Uzun</v>
          </cell>
          <cell r="J1364" t="str">
            <v>Şebeke işletmecisi</v>
          </cell>
          <cell r="K1364" t="str">
            <v>Bildirimsiz</v>
          </cell>
          <cell r="O1364">
            <v>0</v>
          </cell>
          <cell r="P1364">
            <v>51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3123.7499997625127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</row>
        <row r="1365">
          <cell r="C1365" t="str">
            <v>EDİRNE</v>
          </cell>
          <cell r="D1365" t="str">
            <v>KEŞAN</v>
          </cell>
          <cell r="H1365" t="str">
            <v>Dağıtım-AG</v>
          </cell>
          <cell r="I1365" t="str">
            <v>Uzun</v>
          </cell>
          <cell r="J1365" t="str">
            <v>Şebeke işletmecisi</v>
          </cell>
          <cell r="K1365" t="str">
            <v>Bildirimsiz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23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1408.3666667109355</v>
          </cell>
        </row>
        <row r="1366">
          <cell r="C1366" t="str">
            <v>KIRKLARELİ</v>
          </cell>
          <cell r="D1366" t="str">
            <v>VİZE</v>
          </cell>
          <cell r="H1366" t="str">
            <v>Dağıtım-AG</v>
          </cell>
          <cell r="I1366" t="str">
            <v>Uzun</v>
          </cell>
          <cell r="J1366" t="str">
            <v>Şebeke işletmecisi</v>
          </cell>
          <cell r="K1366" t="str">
            <v>Bildirimsiz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110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6730.1666667452082</v>
          </cell>
        </row>
        <row r="1367">
          <cell r="C1367" t="str">
            <v>TEKİRDAĞ</v>
          </cell>
          <cell r="D1367" t="str">
            <v>HAYRABOLU</v>
          </cell>
          <cell r="H1367" t="str">
            <v>Dağıtım-AG</v>
          </cell>
          <cell r="I1367" t="str">
            <v>Uzun</v>
          </cell>
          <cell r="J1367" t="str">
            <v>Şebeke işletmecisi</v>
          </cell>
          <cell r="K1367" t="str">
            <v>Bildirimsiz</v>
          </cell>
          <cell r="O1367">
            <v>0</v>
          </cell>
          <cell r="P1367">
            <v>0</v>
          </cell>
          <cell r="Q1367">
            <v>0</v>
          </cell>
          <cell r="R1367">
            <v>7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428.16666664439254</v>
          </cell>
          <cell r="Y1367">
            <v>0</v>
          </cell>
          <cell r="Z1367">
            <v>0</v>
          </cell>
        </row>
        <row r="1368">
          <cell r="C1368" t="str">
            <v>KIRKLARELİ</v>
          </cell>
          <cell r="D1368" t="str">
            <v>LÜLEBURGAZ</v>
          </cell>
          <cell r="H1368" t="str">
            <v>Dağıtım-AG</v>
          </cell>
          <cell r="I1368" t="str">
            <v>Uzun</v>
          </cell>
          <cell r="J1368" t="str">
            <v>Şebeke işletmecisi</v>
          </cell>
          <cell r="K1368" t="str">
            <v>Bildirimsiz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32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1949.3333333730698</v>
          </cell>
        </row>
        <row r="1369">
          <cell r="C1369" t="str">
            <v>EDİRNE</v>
          </cell>
          <cell r="D1369" t="str">
            <v>ENEZ</v>
          </cell>
          <cell r="H1369" t="str">
            <v>Dağıtım-OG</v>
          </cell>
          <cell r="I1369" t="str">
            <v>Uzun</v>
          </cell>
          <cell r="J1369" t="str">
            <v>Şebeke işletmecisi</v>
          </cell>
          <cell r="K1369" t="str">
            <v>Bildirimsiz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14</v>
          </cell>
          <cell r="T1369">
            <v>1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848.86666663689539</v>
          </cell>
          <cell r="Z1369">
            <v>60.633333331206813</v>
          </cell>
        </row>
        <row r="1370">
          <cell r="C1370" t="str">
            <v>TEKİRDAĞ</v>
          </cell>
          <cell r="D1370" t="str">
            <v>ÇORLU</v>
          </cell>
          <cell r="H1370" t="str">
            <v>Dağıtım-OG</v>
          </cell>
          <cell r="I1370" t="str">
            <v>Uzun</v>
          </cell>
          <cell r="J1370" t="str">
            <v>Şebeke işletmecisi</v>
          </cell>
          <cell r="K1370" t="str">
            <v>Bildirimsiz</v>
          </cell>
          <cell r="O1370">
            <v>2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121.20000000111759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</row>
        <row r="1371">
          <cell r="C1371" t="str">
            <v>TEKİRDAĞ</v>
          </cell>
          <cell r="D1371" t="str">
            <v>ÇORLU</v>
          </cell>
          <cell r="H1371" t="str">
            <v>Dağıtım-AG</v>
          </cell>
          <cell r="I1371" t="str">
            <v>Uzun</v>
          </cell>
          <cell r="J1371" t="str">
            <v>Şebeke işletmecisi</v>
          </cell>
          <cell r="K1371" t="str">
            <v>Bildirimsiz</v>
          </cell>
          <cell r="O1371">
            <v>0</v>
          </cell>
          <cell r="P1371">
            <v>252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15262.800000817515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</row>
        <row r="1372">
          <cell r="C1372" t="str">
            <v>EDİRNE</v>
          </cell>
          <cell r="D1372" t="str">
            <v>KEŞAN</v>
          </cell>
          <cell r="H1372" t="str">
            <v>Dağıtım-AG</v>
          </cell>
          <cell r="I1372" t="str">
            <v>Uzun</v>
          </cell>
          <cell r="J1372" t="str">
            <v>Şebeke işletmecisi</v>
          </cell>
          <cell r="K1372" t="str">
            <v>Bildirimsiz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63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3815.7000002043787</v>
          </cell>
        </row>
        <row r="1373">
          <cell r="C1373" t="str">
            <v>TEKİRDAĞ</v>
          </cell>
          <cell r="D1373" t="str">
            <v>SARAY</v>
          </cell>
          <cell r="H1373" t="str">
            <v>Dağıtım-AG</v>
          </cell>
          <cell r="I1373" t="str">
            <v>Uzun</v>
          </cell>
          <cell r="J1373" t="str">
            <v>Şebeke işletmecisi</v>
          </cell>
          <cell r="K1373" t="str">
            <v>Bildirimsiz</v>
          </cell>
          <cell r="O1373">
            <v>0</v>
          </cell>
          <cell r="P1373">
            <v>0</v>
          </cell>
          <cell r="Q1373">
            <v>0</v>
          </cell>
          <cell r="R1373">
            <v>1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60.549999999348074</v>
          </cell>
          <cell r="Y1373">
            <v>0</v>
          </cell>
          <cell r="Z1373">
            <v>0</v>
          </cell>
        </row>
        <row r="1374">
          <cell r="C1374" t="str">
            <v>EDİRNE</v>
          </cell>
          <cell r="D1374" t="str">
            <v>UZUNKÖPRÜ</v>
          </cell>
          <cell r="H1374" t="str">
            <v>Dağıtım-OG</v>
          </cell>
          <cell r="I1374" t="str">
            <v>Uzun</v>
          </cell>
          <cell r="J1374" t="str">
            <v>Şebeke işletmecisi</v>
          </cell>
          <cell r="K1374" t="str">
            <v>Bildirimsiz</v>
          </cell>
          <cell r="O1374">
            <v>0</v>
          </cell>
          <cell r="P1374">
            <v>126</v>
          </cell>
          <cell r="Q1374">
            <v>0</v>
          </cell>
          <cell r="R1374">
            <v>0</v>
          </cell>
          <cell r="S1374">
            <v>0</v>
          </cell>
          <cell r="T1374">
            <v>2</v>
          </cell>
          <cell r="U1374">
            <v>0</v>
          </cell>
          <cell r="V1374">
            <v>7623.0000010854565</v>
          </cell>
          <cell r="W1374">
            <v>0</v>
          </cell>
          <cell r="X1374">
            <v>0</v>
          </cell>
          <cell r="Y1374">
            <v>0</v>
          </cell>
          <cell r="Z1374">
            <v>121.00000001722947</v>
          </cell>
        </row>
        <row r="1375">
          <cell r="C1375" t="str">
            <v>EDİRNE</v>
          </cell>
          <cell r="D1375" t="str">
            <v>UZUNKÖPRÜ</v>
          </cell>
          <cell r="H1375" t="str">
            <v>Dağıtım-AG</v>
          </cell>
          <cell r="I1375" t="str">
            <v>Uzun</v>
          </cell>
          <cell r="J1375" t="str">
            <v>Şebeke işletmecisi</v>
          </cell>
          <cell r="K1375" t="str">
            <v>Bildirimsiz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7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423.49999998696148</v>
          </cell>
        </row>
        <row r="1376">
          <cell r="C1376" t="str">
            <v>TEKİRDAĞ</v>
          </cell>
          <cell r="D1376" t="str">
            <v>ÇORLU</v>
          </cell>
          <cell r="H1376" t="str">
            <v>Dağıtım-AG</v>
          </cell>
          <cell r="I1376" t="str">
            <v>Uzun</v>
          </cell>
          <cell r="J1376" t="str">
            <v>Şebeke işletmecisi</v>
          </cell>
          <cell r="K1376" t="str">
            <v>Bildirimsiz</v>
          </cell>
          <cell r="O1376">
            <v>0</v>
          </cell>
          <cell r="P1376">
            <v>90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5439.0000003157184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C1377" t="str">
            <v>TEKİRDAĞ</v>
          </cell>
          <cell r="D1377" t="str">
            <v>HAYRABOLU</v>
          </cell>
          <cell r="H1377" t="str">
            <v>Dağıtım-OG</v>
          </cell>
          <cell r="I1377" t="str">
            <v>Uzun</v>
          </cell>
          <cell r="J1377" t="str">
            <v>Şebeke işletmecisi</v>
          </cell>
          <cell r="K1377" t="str">
            <v>Bildirimsiz</v>
          </cell>
          <cell r="O1377">
            <v>0</v>
          </cell>
          <cell r="P1377">
            <v>0</v>
          </cell>
          <cell r="Q1377">
            <v>1</v>
          </cell>
          <cell r="R1377">
            <v>8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60.283333333209157</v>
          </cell>
          <cell r="X1377">
            <v>482.26666666567326</v>
          </cell>
          <cell r="Y1377">
            <v>0</v>
          </cell>
          <cell r="Z1377">
            <v>0</v>
          </cell>
        </row>
        <row r="1378">
          <cell r="C1378" t="str">
            <v>EDİRNE</v>
          </cell>
          <cell r="D1378" t="str">
            <v>UZUNKÖPRÜ</v>
          </cell>
          <cell r="H1378" t="str">
            <v>Dağıtım-AG</v>
          </cell>
          <cell r="I1378" t="str">
            <v>Uzun</v>
          </cell>
          <cell r="J1378" t="str">
            <v>Şebeke işletmecisi</v>
          </cell>
          <cell r="K1378" t="str">
            <v>Bildirimsiz</v>
          </cell>
          <cell r="O1378">
            <v>0</v>
          </cell>
          <cell r="P1378">
            <v>0</v>
          </cell>
          <cell r="Q1378">
            <v>0</v>
          </cell>
          <cell r="R1378">
            <v>7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421.40000000945292</v>
          </cell>
          <cell r="Y1378">
            <v>0</v>
          </cell>
          <cell r="Z1378">
            <v>0</v>
          </cell>
        </row>
        <row r="1379">
          <cell r="C1379" t="str">
            <v>TEKİRDAĞ</v>
          </cell>
          <cell r="D1379" t="str">
            <v>ERGENE</v>
          </cell>
          <cell r="H1379" t="str">
            <v>Dağıtım-OG</v>
          </cell>
          <cell r="I1379" t="str">
            <v>Uzun</v>
          </cell>
          <cell r="J1379" t="str">
            <v>Şebeke işletmecisi</v>
          </cell>
          <cell r="K1379" t="str">
            <v>Bildirimsiz</v>
          </cell>
          <cell r="O1379">
            <v>67</v>
          </cell>
          <cell r="P1379">
            <v>67</v>
          </cell>
          <cell r="Q1379">
            <v>0</v>
          </cell>
          <cell r="R1379">
            <v>0</v>
          </cell>
          <cell r="S1379">
            <v>2</v>
          </cell>
          <cell r="T1379">
            <v>2</v>
          </cell>
          <cell r="U1379">
            <v>4030.0500000093598</v>
          </cell>
          <cell r="V1379">
            <v>4030.0500000093598</v>
          </cell>
          <cell r="W1379">
            <v>0</v>
          </cell>
          <cell r="X1379">
            <v>0</v>
          </cell>
          <cell r="Y1379">
            <v>120.3000000002794</v>
          </cell>
          <cell r="Z1379">
            <v>120.3000000002794</v>
          </cell>
        </row>
        <row r="1380">
          <cell r="C1380" t="str">
            <v>EDİRNE</v>
          </cell>
          <cell r="D1380" t="str">
            <v>UZUNKÖPRÜ</v>
          </cell>
          <cell r="H1380" t="str">
            <v>Dağıtım-OG</v>
          </cell>
          <cell r="I1380" t="str">
            <v>Uzun</v>
          </cell>
          <cell r="J1380" t="str">
            <v>Şebeke İşletmecisi</v>
          </cell>
          <cell r="K1380" t="str">
            <v>Bildirimsiz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182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10944.266667889897</v>
          </cell>
        </row>
        <row r="1381">
          <cell r="C1381" t="str">
            <v>EDİRNE</v>
          </cell>
          <cell r="D1381" t="str">
            <v>UZUNKÖPRÜ</v>
          </cell>
          <cell r="H1381" t="str">
            <v>Dağıtım-AG</v>
          </cell>
          <cell r="I1381" t="str">
            <v>Uzun</v>
          </cell>
          <cell r="J1381" t="str">
            <v>Şebeke işletmecisi</v>
          </cell>
          <cell r="K1381" t="str">
            <v>Bildirimsiz</v>
          </cell>
          <cell r="O1381">
            <v>0</v>
          </cell>
          <cell r="P1381">
            <v>19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1142.533333261963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</row>
        <row r="1382">
          <cell r="C1382" t="str">
            <v>TEKİRDAĞ</v>
          </cell>
          <cell r="D1382" t="str">
            <v>ŞARKÖY</v>
          </cell>
          <cell r="H1382" t="str">
            <v>Dağıtım-OG</v>
          </cell>
          <cell r="I1382" t="str">
            <v>Uzun</v>
          </cell>
          <cell r="J1382" t="str">
            <v>Şebeke işletmecisi</v>
          </cell>
          <cell r="K1382" t="str">
            <v>Bildirimli</v>
          </cell>
          <cell r="O1382">
            <v>5</v>
          </cell>
          <cell r="P1382">
            <v>291</v>
          </cell>
          <cell r="Q1382">
            <v>5</v>
          </cell>
          <cell r="R1382">
            <v>40</v>
          </cell>
          <cell r="S1382">
            <v>1</v>
          </cell>
          <cell r="T1382">
            <v>52</v>
          </cell>
          <cell r="U1382">
            <v>299.9999999825377</v>
          </cell>
          <cell r="V1382">
            <v>17459.999998983694</v>
          </cell>
          <cell r="W1382">
            <v>299.9999999825377</v>
          </cell>
          <cell r="X1382">
            <v>2399.9999998603016</v>
          </cell>
          <cell r="Y1382">
            <v>59.99999999650754</v>
          </cell>
          <cell r="Z1382">
            <v>3119.9999998183921</v>
          </cell>
        </row>
        <row r="1383">
          <cell r="C1383" t="str">
            <v>TEKİRDAĞ</v>
          </cell>
          <cell r="D1383" t="str">
            <v>ÇORLU</v>
          </cell>
          <cell r="H1383" t="str">
            <v>Dağıtım-OG</v>
          </cell>
          <cell r="I1383" t="str">
            <v>Uzun</v>
          </cell>
          <cell r="J1383" t="str">
            <v>Şebeke işletmecisi</v>
          </cell>
          <cell r="K1383" t="str">
            <v>Bildirimli</v>
          </cell>
          <cell r="O1383">
            <v>0</v>
          </cell>
          <cell r="P1383">
            <v>78</v>
          </cell>
          <cell r="Q1383">
            <v>0</v>
          </cell>
          <cell r="R1383">
            <v>1</v>
          </cell>
          <cell r="S1383">
            <v>13</v>
          </cell>
          <cell r="T1383">
            <v>1421</v>
          </cell>
          <cell r="U1383">
            <v>0</v>
          </cell>
          <cell r="V1383">
            <v>4678.7000002409332</v>
          </cell>
          <cell r="W1383">
            <v>0</v>
          </cell>
          <cell r="X1383">
            <v>59.98333333642222</v>
          </cell>
          <cell r="Y1383">
            <v>779.78333337348886</v>
          </cell>
          <cell r="Z1383">
            <v>85236.316671055974</v>
          </cell>
        </row>
        <row r="1384">
          <cell r="C1384" t="str">
            <v>KIRKLARELİ</v>
          </cell>
          <cell r="D1384" t="str">
            <v>KIRKLARELİMERKEZ</v>
          </cell>
          <cell r="H1384" t="str">
            <v>Dağıtım-OG</v>
          </cell>
          <cell r="I1384" t="str">
            <v>Uzun</v>
          </cell>
          <cell r="J1384" t="str">
            <v>Şebeke işletmecisi</v>
          </cell>
          <cell r="K1384" t="str">
            <v>Bildirimli</v>
          </cell>
          <cell r="O1384">
            <v>0</v>
          </cell>
          <cell r="P1384">
            <v>353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21174.116667757044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</row>
        <row r="1385">
          <cell r="C1385" t="str">
            <v>KIRKLARELİ</v>
          </cell>
          <cell r="D1385" t="str">
            <v>KIRKLARELİMERKEZ</v>
          </cell>
          <cell r="H1385" t="str">
            <v>Dağıtım-OG</v>
          </cell>
          <cell r="I1385" t="str">
            <v>Uzun</v>
          </cell>
          <cell r="J1385" t="str">
            <v>Şebeke işletmecisi</v>
          </cell>
          <cell r="K1385" t="str">
            <v>Bildirimli</v>
          </cell>
          <cell r="O1385">
            <v>0</v>
          </cell>
          <cell r="P1385">
            <v>1588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95253.533321600407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</row>
        <row r="1386">
          <cell r="C1386" t="str">
            <v>TEKİRDAĞ</v>
          </cell>
          <cell r="D1386" t="str">
            <v>ÇORLU</v>
          </cell>
          <cell r="H1386" t="str">
            <v>Dağıtım-OG</v>
          </cell>
          <cell r="I1386" t="str">
            <v>Uzun</v>
          </cell>
          <cell r="J1386" t="str">
            <v>Şebeke işletmecisi</v>
          </cell>
          <cell r="K1386" t="str">
            <v>Bildirimli</v>
          </cell>
          <cell r="O1386">
            <v>2</v>
          </cell>
          <cell r="P1386">
            <v>986</v>
          </cell>
          <cell r="Q1386">
            <v>0</v>
          </cell>
          <cell r="R1386">
            <v>0</v>
          </cell>
          <cell r="S1386">
            <v>0</v>
          </cell>
          <cell r="T1386">
            <v>5</v>
          </cell>
          <cell r="U1386">
            <v>119.93333333171904</v>
          </cell>
          <cell r="V1386">
            <v>59127.133332537487</v>
          </cell>
          <cell r="W1386">
            <v>0</v>
          </cell>
          <cell r="X1386">
            <v>0</v>
          </cell>
          <cell r="Y1386">
            <v>0</v>
          </cell>
          <cell r="Z1386">
            <v>299.8333333292976</v>
          </cell>
        </row>
        <row r="1387">
          <cell r="C1387" t="str">
            <v>TEKİRDAĞ</v>
          </cell>
          <cell r="D1387" t="str">
            <v>KAPAKLI</v>
          </cell>
          <cell r="H1387" t="str">
            <v>Dağıtım-AG</v>
          </cell>
          <cell r="I1387" t="str">
            <v>Uzun</v>
          </cell>
          <cell r="J1387" t="str">
            <v>Şebeke işletmecisi</v>
          </cell>
          <cell r="K1387" t="str">
            <v>Bildirimsiz</v>
          </cell>
          <cell r="O1387">
            <v>0</v>
          </cell>
          <cell r="P1387">
            <v>172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10311.400000993162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</row>
        <row r="1388">
          <cell r="C1388" t="str">
            <v>TEKİRDAĞ</v>
          </cell>
          <cell r="D1388" t="str">
            <v>ÇORLU</v>
          </cell>
          <cell r="H1388" t="str">
            <v>Dağıtım-OG</v>
          </cell>
          <cell r="I1388" t="str">
            <v>Uzun</v>
          </cell>
          <cell r="J1388" t="str">
            <v>Şebeke işletmecisi</v>
          </cell>
          <cell r="K1388" t="str">
            <v>Bildirimli</v>
          </cell>
          <cell r="O1388">
            <v>39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2338.049999816576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</row>
        <row r="1389">
          <cell r="C1389" t="str">
            <v>KIRKLARELİ</v>
          </cell>
          <cell r="D1389" t="str">
            <v>BABAESKİ</v>
          </cell>
          <cell r="H1389" t="str">
            <v>Dağıtım-AG</v>
          </cell>
          <cell r="I1389" t="str">
            <v>Uzun</v>
          </cell>
          <cell r="J1389" t="str">
            <v>Şebeke işletmecisi</v>
          </cell>
          <cell r="K1389" t="str">
            <v>Bildirimsiz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21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1258.9499999012332</v>
          </cell>
        </row>
        <row r="1390">
          <cell r="C1390" t="str">
            <v>EDİRNE</v>
          </cell>
          <cell r="D1390" t="str">
            <v>HAVSA</v>
          </cell>
          <cell r="H1390" t="str">
            <v>Dağıtım-OG</v>
          </cell>
          <cell r="I1390" t="str">
            <v>Uzun</v>
          </cell>
          <cell r="J1390" t="str">
            <v>Şebeke İşletmecisi</v>
          </cell>
          <cell r="K1390" t="str">
            <v>Bildirimsiz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1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59.933333335211501</v>
          </cell>
        </row>
        <row r="1391">
          <cell r="C1391" t="str">
            <v>TEKİRDAĞ</v>
          </cell>
          <cell r="D1391" t="str">
            <v>KAPAKLI</v>
          </cell>
          <cell r="H1391" t="str">
            <v>Dağıtım-AG</v>
          </cell>
          <cell r="I1391" t="str">
            <v>Uzun</v>
          </cell>
          <cell r="J1391" t="str">
            <v>Şebeke işletmecisi</v>
          </cell>
          <cell r="K1391" t="str">
            <v>Bildirimli</v>
          </cell>
          <cell r="O1391">
            <v>0</v>
          </cell>
          <cell r="P1391">
            <v>50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2996.666666760575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</row>
        <row r="1392">
          <cell r="C1392" t="str">
            <v>TEKİRDAĞ</v>
          </cell>
          <cell r="D1392" t="str">
            <v>SÜLEYMANPAŞA</v>
          </cell>
          <cell r="H1392" t="str">
            <v>Dağıtım-AG</v>
          </cell>
          <cell r="I1392" t="str">
            <v>Uzun</v>
          </cell>
          <cell r="J1392" t="str">
            <v>Şebeke işletmecisi</v>
          </cell>
          <cell r="K1392" t="str">
            <v>Bildirimsiz</v>
          </cell>
          <cell r="O1392">
            <v>0</v>
          </cell>
          <cell r="P1392">
            <v>29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1738.0666667211335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</row>
        <row r="1393">
          <cell r="C1393" t="str">
            <v>KIRKLARELİ</v>
          </cell>
          <cell r="D1393" t="str">
            <v>KIRKLARELİMERKEZ</v>
          </cell>
          <cell r="H1393" t="str">
            <v>Dağıtım-OG</v>
          </cell>
          <cell r="I1393" t="str">
            <v>Uzun</v>
          </cell>
          <cell r="J1393" t="str">
            <v>Şebeke işletmecisi</v>
          </cell>
          <cell r="K1393" t="str">
            <v>Bildirimli</v>
          </cell>
          <cell r="O1393">
            <v>6</v>
          </cell>
          <cell r="P1393">
            <v>7526</v>
          </cell>
          <cell r="Q1393">
            <v>0</v>
          </cell>
          <cell r="R1393">
            <v>7</v>
          </cell>
          <cell r="S1393">
            <v>0</v>
          </cell>
          <cell r="T1393">
            <v>0</v>
          </cell>
          <cell r="U1393">
            <v>359.50000005075708</v>
          </cell>
          <cell r="V1393">
            <v>450932.83339699963</v>
          </cell>
          <cell r="W1393">
            <v>0</v>
          </cell>
          <cell r="X1393">
            <v>419.41666672588326</v>
          </cell>
          <cell r="Y1393">
            <v>0</v>
          </cell>
          <cell r="Z1393">
            <v>0</v>
          </cell>
        </row>
        <row r="1394">
          <cell r="C1394" t="str">
            <v>TEKİRDAĞ</v>
          </cell>
          <cell r="D1394" t="str">
            <v>ÇERKEZKÖY</v>
          </cell>
          <cell r="H1394" t="str">
            <v>Dağıtım-OG</v>
          </cell>
          <cell r="I1394" t="str">
            <v>Uzun</v>
          </cell>
          <cell r="J1394" t="str">
            <v>Şebeke işletmecisi</v>
          </cell>
          <cell r="K1394" t="str">
            <v>Bildirimli</v>
          </cell>
          <cell r="O1394">
            <v>9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539.24999998183921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</row>
        <row r="1395">
          <cell r="C1395" t="str">
            <v>TEKİRDAĞ</v>
          </cell>
          <cell r="D1395" t="str">
            <v>SÜLEYMANPAŞA</v>
          </cell>
          <cell r="H1395" t="str">
            <v>Dağıtım-AG</v>
          </cell>
          <cell r="I1395" t="str">
            <v>Uzun</v>
          </cell>
          <cell r="J1395" t="str">
            <v>Şebeke işletmecisi</v>
          </cell>
          <cell r="K1395" t="str">
            <v>Bildirimsiz</v>
          </cell>
          <cell r="O1395">
            <v>0</v>
          </cell>
          <cell r="P1395">
            <v>7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419.41666665254161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</row>
        <row r="1396">
          <cell r="C1396" t="str">
            <v>TEKİRDAĞ</v>
          </cell>
          <cell r="D1396" t="str">
            <v>MURATLI</v>
          </cell>
          <cell r="H1396" t="str">
            <v>Dağıtım-OG</v>
          </cell>
          <cell r="I1396" t="str">
            <v>Uzun</v>
          </cell>
          <cell r="J1396" t="str">
            <v>Şebeke işletmecisi</v>
          </cell>
          <cell r="K1396" t="str">
            <v>Bildirimli</v>
          </cell>
          <cell r="O1396">
            <v>3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179.70000001369044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</row>
        <row r="1397">
          <cell r="C1397" t="str">
            <v>TEKİRDAĞ</v>
          </cell>
          <cell r="D1397" t="str">
            <v>ÇORLU</v>
          </cell>
          <cell r="H1397" t="str">
            <v>Dağıtım-OG</v>
          </cell>
          <cell r="I1397" t="str">
            <v>Uzun</v>
          </cell>
          <cell r="J1397" t="str">
            <v>Şebeke işletmecisi</v>
          </cell>
          <cell r="K1397" t="str">
            <v>Bildirimli</v>
          </cell>
          <cell r="O1397">
            <v>1</v>
          </cell>
          <cell r="P1397">
            <v>0</v>
          </cell>
          <cell r="Q1397">
            <v>0</v>
          </cell>
          <cell r="R1397">
            <v>0</v>
          </cell>
          <cell r="S1397">
            <v>6</v>
          </cell>
          <cell r="T1397">
            <v>0</v>
          </cell>
          <cell r="U1397">
            <v>59.900000004563481</v>
          </cell>
          <cell r="V1397">
            <v>0</v>
          </cell>
          <cell r="W1397">
            <v>0</v>
          </cell>
          <cell r="X1397">
            <v>0</v>
          </cell>
          <cell r="Y1397">
            <v>359.40000002738088</v>
          </cell>
          <cell r="Z1397">
            <v>0</v>
          </cell>
        </row>
        <row r="1398">
          <cell r="C1398" t="str">
            <v>KIRKLARELİ</v>
          </cell>
          <cell r="D1398" t="str">
            <v>KIRKLARELİMERKEZ</v>
          </cell>
          <cell r="H1398" t="str">
            <v>Dağıtım-OG</v>
          </cell>
          <cell r="I1398" t="str">
            <v>Uzun</v>
          </cell>
          <cell r="J1398" t="str">
            <v>Şebeke işletmecisi</v>
          </cell>
          <cell r="K1398" t="str">
            <v>Bildirimli</v>
          </cell>
          <cell r="O1398">
            <v>1</v>
          </cell>
          <cell r="P1398">
            <v>1781</v>
          </cell>
          <cell r="Q1398">
            <v>0</v>
          </cell>
          <cell r="R1398">
            <v>4</v>
          </cell>
          <cell r="S1398">
            <v>0</v>
          </cell>
          <cell r="T1398">
            <v>10</v>
          </cell>
          <cell r="U1398">
            <v>59.899999994086102</v>
          </cell>
          <cell r="V1398">
            <v>106681.89998946735</v>
          </cell>
          <cell r="W1398">
            <v>0</v>
          </cell>
          <cell r="X1398">
            <v>239.59999997634441</v>
          </cell>
          <cell r="Y1398">
            <v>0</v>
          </cell>
          <cell r="Z1398">
            <v>598.99999994086102</v>
          </cell>
        </row>
        <row r="1399">
          <cell r="C1399" t="str">
            <v>TEKİRDAĞ</v>
          </cell>
          <cell r="D1399" t="str">
            <v>ÇORLU</v>
          </cell>
          <cell r="H1399" t="str">
            <v>Dağıtım-AG</v>
          </cell>
          <cell r="I1399" t="str">
            <v>Uzun</v>
          </cell>
          <cell r="J1399" t="str">
            <v>Şebeke işletmecisi</v>
          </cell>
          <cell r="K1399" t="str">
            <v>Bildirimli</v>
          </cell>
          <cell r="O1399">
            <v>0</v>
          </cell>
          <cell r="P1399">
            <v>198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11856.900000132155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</row>
        <row r="1400">
          <cell r="C1400" t="str">
            <v>KIRKLARELİ</v>
          </cell>
          <cell r="D1400" t="str">
            <v>KIRKLARELİMERKEZ</v>
          </cell>
          <cell r="H1400" t="str">
            <v>Dağıtım-OG</v>
          </cell>
          <cell r="I1400" t="str">
            <v>Uzun</v>
          </cell>
          <cell r="J1400" t="str">
            <v>Şebeke işletmecisi</v>
          </cell>
          <cell r="K1400" t="str">
            <v>Bildirimli</v>
          </cell>
          <cell r="O1400">
            <v>4</v>
          </cell>
          <cell r="P1400">
            <v>2123</v>
          </cell>
          <cell r="Q1400">
            <v>0</v>
          </cell>
          <cell r="R1400">
            <v>1</v>
          </cell>
          <cell r="S1400">
            <v>0</v>
          </cell>
          <cell r="T1400">
            <v>5</v>
          </cell>
          <cell r="U1400">
            <v>239.53333333600312</v>
          </cell>
          <cell r="V1400">
            <v>127132.31666808366</v>
          </cell>
          <cell r="W1400">
            <v>0</v>
          </cell>
          <cell r="X1400">
            <v>59.883333334000781</v>
          </cell>
          <cell r="Y1400">
            <v>0</v>
          </cell>
          <cell r="Z1400">
            <v>299.41666667000391</v>
          </cell>
        </row>
        <row r="1401">
          <cell r="C1401" t="str">
            <v>TEKİRDAĞ</v>
          </cell>
          <cell r="D1401" t="str">
            <v>HAYRABOLU</v>
          </cell>
          <cell r="H1401" t="str">
            <v>Dağıtım-OG</v>
          </cell>
          <cell r="I1401" t="str">
            <v>Uzun</v>
          </cell>
          <cell r="J1401" t="str">
            <v>Şebeke işletmecisi</v>
          </cell>
          <cell r="K1401" t="str">
            <v>Bildirimsiz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1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59.866666663438082</v>
          </cell>
          <cell r="Z1401">
            <v>0</v>
          </cell>
        </row>
        <row r="1402">
          <cell r="C1402" t="str">
            <v>KIRKLARELİ</v>
          </cell>
          <cell r="D1402" t="str">
            <v>KIRKLARELİMERKEZ</v>
          </cell>
          <cell r="H1402" t="str">
            <v>Dağıtım-OG</v>
          </cell>
          <cell r="I1402" t="str">
            <v>Uzun</v>
          </cell>
          <cell r="J1402" t="str">
            <v>Şebeke işletmecisi</v>
          </cell>
          <cell r="K1402" t="str">
            <v>Bildirimli</v>
          </cell>
          <cell r="O1402">
            <v>0</v>
          </cell>
          <cell r="P1402">
            <v>697</v>
          </cell>
          <cell r="Q1402">
            <v>0</v>
          </cell>
          <cell r="R1402">
            <v>3</v>
          </cell>
          <cell r="S1402">
            <v>0</v>
          </cell>
          <cell r="T1402">
            <v>0</v>
          </cell>
          <cell r="U1402">
            <v>0</v>
          </cell>
          <cell r="V1402">
            <v>41715.450002336875</v>
          </cell>
          <cell r="W1402">
            <v>0</v>
          </cell>
          <cell r="X1402">
            <v>179.55000001005828</v>
          </cell>
          <cell r="Y1402">
            <v>0</v>
          </cell>
          <cell r="Z1402">
            <v>0</v>
          </cell>
        </row>
        <row r="1403">
          <cell r="C1403" t="str">
            <v>TEKİRDAĞ</v>
          </cell>
          <cell r="D1403" t="str">
            <v>KAPAKLI</v>
          </cell>
          <cell r="H1403" t="str">
            <v>Dağıtım-AG</v>
          </cell>
          <cell r="I1403" t="str">
            <v>Uzun</v>
          </cell>
          <cell r="J1403" t="str">
            <v>Şebeke işletmecisi</v>
          </cell>
          <cell r="K1403" t="str">
            <v>Bildirimsiz</v>
          </cell>
          <cell r="O1403">
            <v>0</v>
          </cell>
          <cell r="P1403">
            <v>62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3709.6666666329838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</row>
        <row r="1404">
          <cell r="C1404" t="str">
            <v>KIRKLARELİ</v>
          </cell>
          <cell r="D1404" t="str">
            <v>BABAESKİ</v>
          </cell>
          <cell r="H1404" t="str">
            <v>Dağıtım-AG</v>
          </cell>
          <cell r="I1404" t="str">
            <v>Uzun</v>
          </cell>
          <cell r="J1404" t="str">
            <v>Şebeke işletmecisi</v>
          </cell>
          <cell r="K1404" t="str">
            <v>Bildirimsiz</v>
          </cell>
          <cell r="O1404">
            <v>0</v>
          </cell>
          <cell r="P1404">
            <v>0</v>
          </cell>
          <cell r="Q1404">
            <v>0</v>
          </cell>
          <cell r="R1404">
            <v>80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4782.6666665263474</v>
          </cell>
          <cell r="Y1404">
            <v>0</v>
          </cell>
          <cell r="Z1404">
            <v>0</v>
          </cell>
        </row>
        <row r="1405">
          <cell r="C1405" t="str">
            <v>EDİRNE</v>
          </cell>
          <cell r="D1405" t="str">
            <v>SÜLOĞLU</v>
          </cell>
          <cell r="H1405" t="str">
            <v>Dağıtım-OG</v>
          </cell>
          <cell r="I1405" t="str">
            <v>Uzun</v>
          </cell>
          <cell r="J1405" t="str">
            <v>Şebeke İşletmecisi</v>
          </cell>
          <cell r="K1405" t="str">
            <v>Bildirimsiz</v>
          </cell>
          <cell r="O1405">
            <v>0</v>
          </cell>
          <cell r="P1405">
            <v>0</v>
          </cell>
          <cell r="Q1405">
            <v>1</v>
          </cell>
          <cell r="R1405">
            <v>0</v>
          </cell>
          <cell r="S1405">
            <v>13</v>
          </cell>
          <cell r="T1405">
            <v>693</v>
          </cell>
          <cell r="U1405">
            <v>0</v>
          </cell>
          <cell r="V1405">
            <v>0</v>
          </cell>
          <cell r="W1405">
            <v>59.783333331579342</v>
          </cell>
          <cell r="X1405">
            <v>0</v>
          </cell>
          <cell r="Y1405">
            <v>777.18333331053145</v>
          </cell>
          <cell r="Z1405">
            <v>41429.849998784484</v>
          </cell>
        </row>
        <row r="1406">
          <cell r="C1406" t="str">
            <v>TEKİRDAĞ</v>
          </cell>
          <cell r="D1406" t="str">
            <v>KAPAKLI</v>
          </cell>
          <cell r="H1406" t="str">
            <v>Dağıtım-OG</v>
          </cell>
          <cell r="I1406" t="str">
            <v>Uzun</v>
          </cell>
          <cell r="J1406" t="str">
            <v>Şebeke işletmecisi</v>
          </cell>
          <cell r="K1406" t="str">
            <v>Bildirimsiz</v>
          </cell>
          <cell r="O1406">
            <v>0</v>
          </cell>
          <cell r="P1406">
            <v>144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8604.0000001341105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</row>
        <row r="1407">
          <cell r="C1407" t="str">
            <v>TEKİRDAĞ</v>
          </cell>
          <cell r="D1407" t="str">
            <v>ERGENE</v>
          </cell>
          <cell r="H1407" t="str">
            <v>Dağıtım-OG</v>
          </cell>
          <cell r="I1407" t="str">
            <v>Uzun</v>
          </cell>
          <cell r="J1407" t="str">
            <v>Şebeke işletmecisi</v>
          </cell>
          <cell r="K1407" t="str">
            <v>Bildirimli</v>
          </cell>
          <cell r="O1407">
            <v>1</v>
          </cell>
          <cell r="P1407">
            <v>0</v>
          </cell>
          <cell r="Q1407">
            <v>0</v>
          </cell>
          <cell r="R1407">
            <v>0</v>
          </cell>
          <cell r="S1407">
            <v>2</v>
          </cell>
          <cell r="T1407">
            <v>0</v>
          </cell>
          <cell r="U1407">
            <v>59.649999998509884</v>
          </cell>
          <cell r="V1407">
            <v>0</v>
          </cell>
          <cell r="W1407">
            <v>0</v>
          </cell>
          <cell r="X1407">
            <v>0</v>
          </cell>
          <cell r="Y1407">
            <v>119.29999999701977</v>
          </cell>
          <cell r="Z1407">
            <v>0</v>
          </cell>
        </row>
        <row r="1408">
          <cell r="C1408" t="str">
            <v>TEKİRDAĞ</v>
          </cell>
          <cell r="D1408" t="str">
            <v>MALKARA</v>
          </cell>
          <cell r="H1408" t="str">
            <v>Dağıtım-AG</v>
          </cell>
          <cell r="I1408" t="str">
            <v>Uzun</v>
          </cell>
          <cell r="J1408" t="str">
            <v>Şebeke işletmecisi</v>
          </cell>
          <cell r="K1408" t="str">
            <v>Bildirimsiz</v>
          </cell>
          <cell r="O1408">
            <v>0</v>
          </cell>
          <cell r="P1408">
            <v>30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1787.5000001164153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</row>
        <row r="1409">
          <cell r="C1409" t="str">
            <v>TEKİRDAĞ</v>
          </cell>
          <cell r="D1409" t="str">
            <v>MARMARAEREĞLİSİ</v>
          </cell>
          <cell r="H1409" t="str">
            <v>Dağıtım-AG</v>
          </cell>
          <cell r="I1409" t="str">
            <v>Uzun</v>
          </cell>
          <cell r="J1409" t="str">
            <v>Şebeke işletmecisi</v>
          </cell>
          <cell r="K1409" t="str">
            <v>Bildirimsiz</v>
          </cell>
          <cell r="O1409">
            <v>0</v>
          </cell>
          <cell r="P1409">
            <v>3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178.64999998826534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</row>
        <row r="1410">
          <cell r="C1410" t="str">
            <v>EDİRNE</v>
          </cell>
          <cell r="D1410" t="str">
            <v>HAVSA</v>
          </cell>
          <cell r="H1410" t="str">
            <v>Dağıtım-OG</v>
          </cell>
          <cell r="I1410" t="str">
            <v>Uzun</v>
          </cell>
          <cell r="J1410" t="str">
            <v>Şebeke işletmecisi</v>
          </cell>
          <cell r="K1410" t="str">
            <v>Bildirimsiz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1</v>
          </cell>
          <cell r="T1410">
            <v>1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59.549999996088445</v>
          </cell>
          <cell r="Z1410">
            <v>59.549999996088445</v>
          </cell>
        </row>
        <row r="1411">
          <cell r="C1411" t="str">
            <v>KIRKLARELİ</v>
          </cell>
          <cell r="D1411" t="str">
            <v>KIRKLARELİMERKEZ</v>
          </cell>
          <cell r="H1411" t="str">
            <v>Dağıtım-OG</v>
          </cell>
          <cell r="I1411" t="str">
            <v>Uzun</v>
          </cell>
          <cell r="J1411" t="str">
            <v>Şebeke işletmecisi</v>
          </cell>
          <cell r="K1411" t="str">
            <v>Bildirimsiz</v>
          </cell>
          <cell r="O1411">
            <v>0</v>
          </cell>
          <cell r="P1411">
            <v>105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6249.2499998712447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</row>
        <row r="1412">
          <cell r="C1412" t="str">
            <v>TEKİRDAĞ</v>
          </cell>
          <cell r="D1412" t="str">
            <v>ÇORLU</v>
          </cell>
          <cell r="H1412" t="str">
            <v>Dağıtım-OG</v>
          </cell>
          <cell r="I1412" t="str">
            <v>Uzun</v>
          </cell>
          <cell r="J1412" t="str">
            <v>Şebeke işletmecisi</v>
          </cell>
          <cell r="K1412" t="str">
            <v>Bildirimli</v>
          </cell>
          <cell r="O1412">
            <v>1</v>
          </cell>
          <cell r="P1412">
            <v>0</v>
          </cell>
          <cell r="Q1412">
            <v>0</v>
          </cell>
          <cell r="R1412">
            <v>0</v>
          </cell>
          <cell r="S1412">
            <v>6</v>
          </cell>
          <cell r="T1412">
            <v>0</v>
          </cell>
          <cell r="U1412">
            <v>59.500000005355105</v>
          </cell>
          <cell r="V1412">
            <v>0</v>
          </cell>
          <cell r="W1412">
            <v>0</v>
          </cell>
          <cell r="X1412">
            <v>0</v>
          </cell>
          <cell r="Y1412">
            <v>357.00000003213063</v>
          </cell>
          <cell r="Z1412">
            <v>0</v>
          </cell>
        </row>
        <row r="1413">
          <cell r="C1413" t="str">
            <v>TEKİRDAĞ</v>
          </cell>
          <cell r="D1413" t="str">
            <v>ÇORLU</v>
          </cell>
          <cell r="H1413" t="str">
            <v>Dağıtım-OG</v>
          </cell>
          <cell r="I1413" t="str">
            <v>Uzun</v>
          </cell>
          <cell r="J1413" t="str">
            <v>Şebeke işletmecisi</v>
          </cell>
          <cell r="K1413" t="str">
            <v>Bildirimli</v>
          </cell>
          <cell r="O1413">
            <v>0</v>
          </cell>
          <cell r="P1413">
            <v>78</v>
          </cell>
          <cell r="Q1413">
            <v>0</v>
          </cell>
          <cell r="R1413">
            <v>1</v>
          </cell>
          <cell r="S1413">
            <v>13</v>
          </cell>
          <cell r="T1413">
            <v>1421</v>
          </cell>
          <cell r="U1413">
            <v>0</v>
          </cell>
          <cell r="V1413">
            <v>4638.3999998099171</v>
          </cell>
          <cell r="W1413">
            <v>0</v>
          </cell>
          <cell r="X1413">
            <v>59.466666664229706</v>
          </cell>
          <cell r="Y1413">
            <v>773.06666663498618</v>
          </cell>
          <cell r="Z1413">
            <v>84502.133329870412</v>
          </cell>
        </row>
        <row r="1414">
          <cell r="C1414" t="str">
            <v>TEKİRDAĞ</v>
          </cell>
          <cell r="D1414" t="str">
            <v>MALKARA</v>
          </cell>
          <cell r="H1414" t="str">
            <v>Dağıtım-OG</v>
          </cell>
          <cell r="I1414" t="str">
            <v>Uzun</v>
          </cell>
          <cell r="J1414" t="str">
            <v>Şebeke işletmecisi</v>
          </cell>
          <cell r="K1414" t="str">
            <v>Bildirimsiz</v>
          </cell>
          <cell r="O1414">
            <v>0</v>
          </cell>
          <cell r="P1414">
            <v>163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9687.6333333738148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</row>
        <row r="1415">
          <cell r="C1415" t="str">
            <v>TEKİRDAĞ</v>
          </cell>
          <cell r="D1415" t="str">
            <v>ÇORLU</v>
          </cell>
          <cell r="H1415" t="str">
            <v>Dağıtım-AG</v>
          </cell>
          <cell r="I1415" t="str">
            <v>Uzun</v>
          </cell>
          <cell r="J1415" t="str">
            <v>Şebeke işletmecisi</v>
          </cell>
          <cell r="K1415" t="str">
            <v>Bildirimsiz</v>
          </cell>
          <cell r="O1415">
            <v>0</v>
          </cell>
          <cell r="P1415">
            <v>25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1484.5833333092742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</row>
        <row r="1416">
          <cell r="C1416" t="str">
            <v>TEKİRDAĞ</v>
          </cell>
          <cell r="D1416" t="str">
            <v>HAYRABOLU</v>
          </cell>
          <cell r="H1416" t="str">
            <v>Dağıtım-OG</v>
          </cell>
          <cell r="I1416" t="str">
            <v>Uzun</v>
          </cell>
          <cell r="J1416" t="str">
            <v>Şebeke işletmecisi</v>
          </cell>
          <cell r="K1416" t="str">
            <v>Bildirimsiz</v>
          </cell>
          <cell r="O1416">
            <v>0</v>
          </cell>
          <cell r="P1416">
            <v>0</v>
          </cell>
          <cell r="Q1416">
            <v>3</v>
          </cell>
          <cell r="R1416">
            <v>0</v>
          </cell>
          <cell r="S1416">
            <v>1</v>
          </cell>
          <cell r="T1416">
            <v>0</v>
          </cell>
          <cell r="U1416">
            <v>0</v>
          </cell>
          <cell r="V1416">
            <v>0</v>
          </cell>
          <cell r="W1416">
            <v>177.94999998179264</v>
          </cell>
          <cell r="X1416">
            <v>0</v>
          </cell>
          <cell r="Y1416">
            <v>59.316666660597548</v>
          </cell>
          <cell r="Z1416">
            <v>0</v>
          </cell>
        </row>
        <row r="1417">
          <cell r="C1417" t="str">
            <v>TEKİRDAĞ</v>
          </cell>
          <cell r="D1417" t="str">
            <v>MALKARA</v>
          </cell>
          <cell r="H1417" t="str">
            <v>Dağıtım-AG</v>
          </cell>
          <cell r="I1417" t="str">
            <v>Uzun</v>
          </cell>
          <cell r="J1417" t="str">
            <v>Şebeke işletmecisi</v>
          </cell>
          <cell r="K1417" t="str">
            <v>Bildirimsiz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19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1126.3833334681112</v>
          </cell>
        </row>
        <row r="1418">
          <cell r="C1418" t="str">
            <v>KIRKLARELİ</v>
          </cell>
          <cell r="D1418" t="str">
            <v>LÜLEBURGAZ</v>
          </cell>
          <cell r="H1418" t="str">
            <v>Dağıtım-OG</v>
          </cell>
          <cell r="I1418" t="str">
            <v>Uzun</v>
          </cell>
          <cell r="J1418" t="str">
            <v>Şebeke işletmecisi</v>
          </cell>
          <cell r="K1418" t="str">
            <v>Bildirimli</v>
          </cell>
          <cell r="O1418">
            <v>1</v>
          </cell>
          <cell r="P1418">
            <v>0</v>
          </cell>
          <cell r="Q1418">
            <v>0</v>
          </cell>
          <cell r="R1418">
            <v>0</v>
          </cell>
          <cell r="S1418">
            <v>15</v>
          </cell>
          <cell r="T1418">
            <v>0</v>
          </cell>
          <cell r="U1418">
            <v>59.249999999301508</v>
          </cell>
          <cell r="V1418">
            <v>0</v>
          </cell>
          <cell r="W1418">
            <v>0</v>
          </cell>
          <cell r="X1418">
            <v>0</v>
          </cell>
          <cell r="Y1418">
            <v>888.74999998952262</v>
          </cell>
          <cell r="Z1418">
            <v>0</v>
          </cell>
        </row>
        <row r="1419">
          <cell r="C1419" t="str">
            <v>TEKİRDAĞ</v>
          </cell>
          <cell r="D1419" t="str">
            <v>SÜLEYMANPAŞA</v>
          </cell>
          <cell r="H1419" t="str">
            <v>Dağıtım-OG</v>
          </cell>
          <cell r="I1419" t="str">
            <v>Uzun</v>
          </cell>
          <cell r="J1419" t="str">
            <v>Şebeke işletmecisi</v>
          </cell>
          <cell r="K1419" t="str">
            <v>Bildirimli</v>
          </cell>
          <cell r="O1419">
            <v>5</v>
          </cell>
          <cell r="P1419">
            <v>1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296.24999999650754</v>
          </cell>
          <cell r="V1419">
            <v>59.249999999301508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</row>
        <row r="1420">
          <cell r="C1420" t="str">
            <v>KIRKLARELİ</v>
          </cell>
          <cell r="D1420" t="str">
            <v>KOFÇAZ</v>
          </cell>
          <cell r="H1420" t="str">
            <v>Dağıtım-OG</v>
          </cell>
          <cell r="I1420" t="str">
            <v>Uzun</v>
          </cell>
          <cell r="J1420" t="str">
            <v>Şebeke işletmecisi</v>
          </cell>
          <cell r="K1420" t="str">
            <v>Bildirimsiz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5</v>
          </cell>
          <cell r="T1420">
            <v>272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296.16666664369404</v>
          </cell>
          <cell r="Z1420">
            <v>16111.466665416956</v>
          </cell>
        </row>
        <row r="1421">
          <cell r="C1421" t="str">
            <v>TEKİRDAĞ</v>
          </cell>
          <cell r="D1421" t="str">
            <v>MALKARA</v>
          </cell>
          <cell r="H1421" t="str">
            <v>Dağıtım-AG</v>
          </cell>
          <cell r="I1421" t="str">
            <v>Uzun</v>
          </cell>
          <cell r="J1421" t="str">
            <v>Şebeke işletmecisi</v>
          </cell>
          <cell r="K1421" t="str">
            <v>Bildirimsiz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11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651.38333335518837</v>
          </cell>
        </row>
        <row r="1422">
          <cell r="C1422" t="str">
            <v>EDİRNE</v>
          </cell>
          <cell r="D1422" t="str">
            <v>EDİRNEMERKEZ</v>
          </cell>
          <cell r="H1422" t="str">
            <v>Dağıtım-OG</v>
          </cell>
          <cell r="I1422" t="str">
            <v>Uzun</v>
          </cell>
          <cell r="J1422" t="str">
            <v>Şebeke İşletmecisi</v>
          </cell>
          <cell r="K1422" t="str">
            <v>Bildirimsiz</v>
          </cell>
          <cell r="O1422">
            <v>0</v>
          </cell>
          <cell r="P1422">
            <v>0</v>
          </cell>
          <cell r="Q1422">
            <v>0</v>
          </cell>
          <cell r="R1422">
            <v>2</v>
          </cell>
          <cell r="S1422">
            <v>0</v>
          </cell>
          <cell r="T1422">
            <v>106</v>
          </cell>
          <cell r="U1422">
            <v>0</v>
          </cell>
          <cell r="V1422">
            <v>0</v>
          </cell>
          <cell r="W1422">
            <v>0</v>
          </cell>
          <cell r="X1422">
            <v>118.36666667601094</v>
          </cell>
          <cell r="Y1422">
            <v>0</v>
          </cell>
          <cell r="Z1422">
            <v>6273.4333338285796</v>
          </cell>
        </row>
        <row r="1423">
          <cell r="C1423" t="str">
            <v>EDİRNE</v>
          </cell>
          <cell r="D1423" t="str">
            <v>EDİRNEMERKEZ</v>
          </cell>
          <cell r="H1423" t="str">
            <v>Dağıtım-AG</v>
          </cell>
          <cell r="I1423" t="str">
            <v>Uzun</v>
          </cell>
          <cell r="J1423" t="str">
            <v>Şebeke işletmecisi</v>
          </cell>
          <cell r="K1423" t="str">
            <v>Bildirimsiz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2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118.29999999376014</v>
          </cell>
        </row>
        <row r="1424">
          <cell r="C1424" t="str">
            <v>EDİRNE</v>
          </cell>
          <cell r="D1424" t="str">
            <v>KEŞAN</v>
          </cell>
          <cell r="H1424" t="str">
            <v>Dağıtım-OG</v>
          </cell>
          <cell r="I1424" t="str">
            <v>Uzun</v>
          </cell>
          <cell r="J1424" t="str">
            <v>Şebeke işletmecisi</v>
          </cell>
          <cell r="K1424" t="str">
            <v>Bildirimsiz</v>
          </cell>
          <cell r="O1424">
            <v>0</v>
          </cell>
          <cell r="P1424">
            <v>7</v>
          </cell>
          <cell r="Q1424">
            <v>0</v>
          </cell>
          <cell r="R1424">
            <v>0</v>
          </cell>
          <cell r="S1424">
            <v>1</v>
          </cell>
          <cell r="T1424">
            <v>0</v>
          </cell>
          <cell r="U1424">
            <v>0</v>
          </cell>
          <cell r="V1424">
            <v>413.93333328422159</v>
          </cell>
          <cell r="W1424">
            <v>0</v>
          </cell>
          <cell r="X1424">
            <v>0</v>
          </cell>
          <cell r="Y1424">
            <v>59.13333332631737</v>
          </cell>
          <cell r="Z1424">
            <v>0</v>
          </cell>
        </row>
        <row r="1425">
          <cell r="C1425" t="str">
            <v>TEKİRDAĞ</v>
          </cell>
          <cell r="D1425" t="str">
            <v>MARMARAEREĞLİSİ</v>
          </cell>
          <cell r="H1425" t="str">
            <v>Dağıtım-AG</v>
          </cell>
          <cell r="I1425" t="str">
            <v>Uzun</v>
          </cell>
          <cell r="J1425" t="str">
            <v>Şebeke işletmecisi</v>
          </cell>
          <cell r="K1425" t="str">
            <v>Bildirimsiz</v>
          </cell>
          <cell r="O1425">
            <v>0</v>
          </cell>
          <cell r="P1425">
            <v>0</v>
          </cell>
          <cell r="Q1425">
            <v>0</v>
          </cell>
          <cell r="R1425">
            <v>12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709.39999999478459</v>
          </cell>
          <cell r="Y1425">
            <v>0</v>
          </cell>
          <cell r="Z1425">
            <v>0</v>
          </cell>
        </row>
        <row r="1426">
          <cell r="C1426" t="str">
            <v>TEKİRDAĞ</v>
          </cell>
          <cell r="D1426" t="str">
            <v>ŞARKÖY</v>
          </cell>
          <cell r="H1426" t="str">
            <v>Dağıtım-AG</v>
          </cell>
          <cell r="I1426" t="str">
            <v>Uzun</v>
          </cell>
          <cell r="J1426" t="str">
            <v>Şebeke işletmecisi</v>
          </cell>
          <cell r="K1426" t="str">
            <v>Bildirimsiz</v>
          </cell>
          <cell r="O1426">
            <v>0</v>
          </cell>
          <cell r="P1426">
            <v>0</v>
          </cell>
          <cell r="Q1426">
            <v>0</v>
          </cell>
          <cell r="R1426">
            <v>8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472.40000003948808</v>
          </cell>
          <cell r="Y1426">
            <v>0</v>
          </cell>
          <cell r="Z1426">
            <v>0</v>
          </cell>
        </row>
        <row r="1427">
          <cell r="C1427" t="str">
            <v>TEKİRDAĞ</v>
          </cell>
          <cell r="D1427" t="str">
            <v>ŞARKÖY</v>
          </cell>
          <cell r="H1427" t="str">
            <v>Dağıtım-AG</v>
          </cell>
          <cell r="I1427" t="str">
            <v>Uzun</v>
          </cell>
          <cell r="J1427" t="str">
            <v>Şebeke işletmecisi</v>
          </cell>
          <cell r="K1427" t="str">
            <v>Bildirimsiz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10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590.16666663810611</v>
          </cell>
        </row>
        <row r="1428">
          <cell r="C1428" t="str">
            <v>KIRKLARELİ</v>
          </cell>
          <cell r="D1428" t="str">
            <v>KOFÇAZ</v>
          </cell>
          <cell r="H1428" t="str">
            <v>Dağıtım-OG</v>
          </cell>
          <cell r="I1428" t="str">
            <v>Uzun</v>
          </cell>
          <cell r="J1428" t="str">
            <v>Şebeke işletmecisi</v>
          </cell>
          <cell r="K1428" t="str">
            <v>Bildirimsiz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6</v>
          </cell>
          <cell r="T1428">
            <v>60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354.00000002235174</v>
          </cell>
          <cell r="Z1428">
            <v>3540.0000002235174</v>
          </cell>
        </row>
        <row r="1429">
          <cell r="C1429" t="str">
            <v>EDİRNE</v>
          </cell>
          <cell r="D1429" t="str">
            <v>UZUNKÖPRÜ</v>
          </cell>
          <cell r="H1429" t="str">
            <v>Dağıtım-AG</v>
          </cell>
          <cell r="I1429" t="str">
            <v>Uzun</v>
          </cell>
          <cell r="J1429" t="str">
            <v>Şebeke işletmecisi</v>
          </cell>
          <cell r="K1429" t="str">
            <v>Bildirimsiz</v>
          </cell>
          <cell r="O1429">
            <v>0</v>
          </cell>
          <cell r="P1429">
            <v>0</v>
          </cell>
          <cell r="Q1429">
            <v>0</v>
          </cell>
          <cell r="R1429">
            <v>72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4246.7999999877065</v>
          </cell>
          <cell r="Y1429">
            <v>0</v>
          </cell>
          <cell r="Z1429">
            <v>0</v>
          </cell>
        </row>
        <row r="1430">
          <cell r="C1430" t="str">
            <v>TEKİRDAĞ</v>
          </cell>
          <cell r="D1430" t="str">
            <v>SÜLEYMANPAŞA</v>
          </cell>
          <cell r="H1430" t="str">
            <v>Dağıtım-AG</v>
          </cell>
          <cell r="I1430" t="str">
            <v>Uzun</v>
          </cell>
          <cell r="J1430" t="str">
            <v>Şebeke işletmecisi</v>
          </cell>
          <cell r="K1430" t="str">
            <v>Bildirimsiz</v>
          </cell>
          <cell r="O1430">
            <v>0</v>
          </cell>
          <cell r="P1430">
            <v>12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707.60000007692724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</row>
        <row r="1431">
          <cell r="C1431" t="str">
            <v>TEKİRDAĞ</v>
          </cell>
          <cell r="D1431" t="str">
            <v>ÇORLU</v>
          </cell>
          <cell r="H1431" t="str">
            <v>Dağıtım-OG</v>
          </cell>
          <cell r="I1431" t="str">
            <v>Uzun</v>
          </cell>
          <cell r="J1431" t="str">
            <v>Şebeke işletmecisi</v>
          </cell>
          <cell r="K1431" t="str">
            <v>Bildirimli</v>
          </cell>
          <cell r="O1431">
            <v>39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2299.6999998413958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</row>
        <row r="1432">
          <cell r="C1432" t="str">
            <v>TEKİRDAĞ</v>
          </cell>
          <cell r="D1432" t="str">
            <v>SÜLEYMANPAŞA</v>
          </cell>
          <cell r="H1432" t="str">
            <v>Dağıtım-AG</v>
          </cell>
          <cell r="I1432" t="str">
            <v>Uzun</v>
          </cell>
          <cell r="J1432" t="str">
            <v>Şebeke işletmecisi</v>
          </cell>
          <cell r="K1432" t="str">
            <v>Bildirimsiz</v>
          </cell>
          <cell r="O1432">
            <v>0</v>
          </cell>
          <cell r="P1432">
            <v>19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1120.3666665893979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</row>
        <row r="1433">
          <cell r="C1433" t="str">
            <v>EDİRNE</v>
          </cell>
          <cell r="D1433" t="str">
            <v>ENEZ</v>
          </cell>
          <cell r="H1433" t="str">
            <v>Dağıtım-AG</v>
          </cell>
          <cell r="I1433" t="str">
            <v>Uzun</v>
          </cell>
          <cell r="J1433" t="str">
            <v>Şebeke işletmecisi</v>
          </cell>
          <cell r="K1433" t="str">
            <v>Bildirimsiz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33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1945.3500000829808</v>
          </cell>
        </row>
        <row r="1434">
          <cell r="C1434" t="str">
            <v>EDİRNE</v>
          </cell>
          <cell r="D1434" t="str">
            <v>UZUNKÖPRÜ</v>
          </cell>
          <cell r="H1434" t="str">
            <v>Dağıtım-AG</v>
          </cell>
          <cell r="I1434" t="str">
            <v>Uzun</v>
          </cell>
          <cell r="J1434" t="str">
            <v>Şebeke işletmecisi</v>
          </cell>
          <cell r="K1434" t="str">
            <v>Bildirimsiz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13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765.91666659805924</v>
          </cell>
        </row>
        <row r="1435">
          <cell r="C1435" t="str">
            <v>TEKİRDAĞ</v>
          </cell>
          <cell r="D1435" t="str">
            <v>SÜLEYMANPAŞA</v>
          </cell>
          <cell r="H1435" t="str">
            <v>Dağıtım-AG</v>
          </cell>
          <cell r="I1435" t="str">
            <v>Uzun</v>
          </cell>
          <cell r="J1435" t="str">
            <v>Şebeke işletmecisi</v>
          </cell>
          <cell r="K1435" t="str">
            <v>Bildirimsiz</v>
          </cell>
          <cell r="O1435">
            <v>0</v>
          </cell>
          <cell r="P1435">
            <v>10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589.16666661389172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</row>
        <row r="1436">
          <cell r="C1436" t="str">
            <v>TEKİRDAĞ</v>
          </cell>
          <cell r="D1436" t="str">
            <v>SÜLEYMANPAŞA</v>
          </cell>
          <cell r="H1436" t="str">
            <v>Dağıtım-AG</v>
          </cell>
          <cell r="I1436" t="str">
            <v>Uzun</v>
          </cell>
          <cell r="J1436" t="str">
            <v>Şebeke işletmecisi</v>
          </cell>
          <cell r="K1436" t="str">
            <v>Bildirimsiz</v>
          </cell>
          <cell r="O1436">
            <v>0</v>
          </cell>
          <cell r="P1436">
            <v>28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1648.7333335541189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</row>
        <row r="1437">
          <cell r="C1437" t="str">
            <v>TEKİRDAĞ</v>
          </cell>
          <cell r="D1437" t="str">
            <v>ERGENE</v>
          </cell>
          <cell r="H1437" t="str">
            <v>Dağıtım-OG</v>
          </cell>
          <cell r="I1437" t="str">
            <v>Uzun</v>
          </cell>
          <cell r="J1437" t="str">
            <v>Şebeke işletmecisi</v>
          </cell>
          <cell r="K1437" t="str">
            <v>Bildirimli</v>
          </cell>
          <cell r="O1437">
            <v>5</v>
          </cell>
          <cell r="P1437">
            <v>0</v>
          </cell>
          <cell r="Q1437">
            <v>0</v>
          </cell>
          <cell r="R1437">
            <v>0</v>
          </cell>
          <cell r="S1437">
            <v>32</v>
          </cell>
          <cell r="T1437">
            <v>0</v>
          </cell>
          <cell r="U1437">
            <v>294.25000000046566</v>
          </cell>
          <cell r="V1437">
            <v>0</v>
          </cell>
          <cell r="W1437">
            <v>0</v>
          </cell>
          <cell r="X1437">
            <v>0</v>
          </cell>
          <cell r="Y1437">
            <v>1883.2000000029802</v>
          </cell>
          <cell r="Z1437">
            <v>0</v>
          </cell>
        </row>
        <row r="1438">
          <cell r="C1438" t="str">
            <v>TEKİRDAĞ</v>
          </cell>
          <cell r="D1438" t="str">
            <v>SÜLEYMANPAŞA</v>
          </cell>
          <cell r="H1438" t="str">
            <v>Dağıtım-AG</v>
          </cell>
          <cell r="I1438" t="str">
            <v>Uzun</v>
          </cell>
          <cell r="J1438" t="str">
            <v>Dışsal</v>
          </cell>
          <cell r="K1438" t="str">
            <v>Bildirimsiz</v>
          </cell>
          <cell r="O1438">
            <v>0</v>
          </cell>
          <cell r="P1438">
            <v>1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58.799999998882413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</row>
        <row r="1439">
          <cell r="C1439" t="str">
            <v>TEKİRDAĞ</v>
          </cell>
          <cell r="D1439" t="str">
            <v>KAPAKLI</v>
          </cell>
          <cell r="H1439" t="str">
            <v>Dağıtım-OG</v>
          </cell>
          <cell r="I1439" t="str">
            <v>Uzun</v>
          </cell>
          <cell r="J1439" t="str">
            <v>Şebeke işletmecisi</v>
          </cell>
          <cell r="K1439" t="str">
            <v>Bildirimsiz</v>
          </cell>
          <cell r="O1439">
            <v>1</v>
          </cell>
          <cell r="P1439">
            <v>1118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58.783333338797092</v>
          </cell>
          <cell r="V1439">
            <v>65719.766672775149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</row>
        <row r="1440">
          <cell r="C1440" t="str">
            <v>TEKİRDAĞ</v>
          </cell>
          <cell r="D1440" t="str">
            <v>KAPAKLI</v>
          </cell>
          <cell r="H1440" t="str">
            <v>Dağıtım-OG</v>
          </cell>
          <cell r="I1440" t="str">
            <v>Uzun</v>
          </cell>
          <cell r="J1440" t="str">
            <v>Şebeke işletmecisi</v>
          </cell>
          <cell r="K1440" t="str">
            <v>Bildirimli</v>
          </cell>
          <cell r="O1440">
            <v>0</v>
          </cell>
          <cell r="P1440">
            <v>255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14972.750000091037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</row>
        <row r="1441">
          <cell r="C1441" t="str">
            <v>TEKİRDAĞ</v>
          </cell>
          <cell r="D1441" t="str">
            <v>MALKARA</v>
          </cell>
          <cell r="H1441" t="str">
            <v>Dağıtım-AG</v>
          </cell>
          <cell r="I1441" t="str">
            <v>Uzun</v>
          </cell>
          <cell r="J1441" t="str">
            <v>Şebeke işletmecisi</v>
          </cell>
          <cell r="K1441" t="str">
            <v>Bildirimsiz</v>
          </cell>
          <cell r="O1441">
            <v>0</v>
          </cell>
          <cell r="P1441">
            <v>114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6691.7999995965511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</row>
        <row r="1442">
          <cell r="C1442" t="str">
            <v>TEKİRDAĞ</v>
          </cell>
          <cell r="D1442" t="str">
            <v>HAYRABOLU</v>
          </cell>
          <cell r="H1442" t="str">
            <v>Dağıtım-AG</v>
          </cell>
          <cell r="I1442" t="str">
            <v>Uzun</v>
          </cell>
          <cell r="J1442" t="str">
            <v>Şebeke işletmecisi</v>
          </cell>
          <cell r="K1442" t="str">
            <v>Bildirimli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70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4107.8333335462958</v>
          </cell>
        </row>
        <row r="1443">
          <cell r="C1443" t="str">
            <v>KIRKLARELİ</v>
          </cell>
          <cell r="D1443" t="str">
            <v>BABAESKİ</v>
          </cell>
          <cell r="H1443" t="str">
            <v>Dağıtım-OG</v>
          </cell>
          <cell r="I1443" t="str">
            <v>Uzun</v>
          </cell>
          <cell r="J1443" t="str">
            <v>Şebeke İşletmecisi</v>
          </cell>
          <cell r="K1443" t="str">
            <v>Bildirimsiz</v>
          </cell>
          <cell r="O1443">
            <v>3</v>
          </cell>
          <cell r="P1443">
            <v>681</v>
          </cell>
          <cell r="Q1443">
            <v>0</v>
          </cell>
          <cell r="R1443">
            <v>1</v>
          </cell>
          <cell r="S1443">
            <v>1</v>
          </cell>
          <cell r="T1443">
            <v>0</v>
          </cell>
          <cell r="U1443">
            <v>175.99999999743886</v>
          </cell>
          <cell r="V1443">
            <v>39951.999999418622</v>
          </cell>
          <cell r="W1443">
            <v>0</v>
          </cell>
          <cell r="X1443">
            <v>58.666666665812954</v>
          </cell>
          <cell r="Y1443">
            <v>58.666666665812954</v>
          </cell>
          <cell r="Z1443">
            <v>0</v>
          </cell>
        </row>
        <row r="1444">
          <cell r="C1444" t="str">
            <v>KIRKLARELİ</v>
          </cell>
          <cell r="D1444" t="str">
            <v>LÜLEBURGAZ</v>
          </cell>
          <cell r="H1444" t="str">
            <v>Dağıtım-OG</v>
          </cell>
          <cell r="I1444" t="str">
            <v>Uzun</v>
          </cell>
          <cell r="J1444" t="str">
            <v>Şebeke işletmecisi</v>
          </cell>
          <cell r="K1444" t="str">
            <v>Bildirimsiz</v>
          </cell>
          <cell r="O1444">
            <v>0</v>
          </cell>
          <cell r="P1444">
            <v>46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2698.6666666273959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</row>
        <row r="1445">
          <cell r="C1445" t="str">
            <v>TEKİRDAĞ</v>
          </cell>
          <cell r="D1445" t="str">
            <v>MALKARA</v>
          </cell>
          <cell r="H1445" t="str">
            <v>Dağıtım-AG</v>
          </cell>
          <cell r="I1445" t="str">
            <v>Uzun</v>
          </cell>
          <cell r="J1445" t="str">
            <v>Şebeke işletmecisi</v>
          </cell>
          <cell r="K1445" t="str">
            <v>Bildirimsiz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18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1054.1999999410473</v>
          </cell>
        </row>
        <row r="1446">
          <cell r="C1446" t="str">
            <v>EDİRNE</v>
          </cell>
          <cell r="D1446" t="str">
            <v>KEŞAN</v>
          </cell>
          <cell r="H1446" t="str">
            <v>Dağıtım-AG</v>
          </cell>
          <cell r="I1446" t="str">
            <v>Uzun</v>
          </cell>
          <cell r="J1446" t="str">
            <v>Şebeke işletmecisi</v>
          </cell>
          <cell r="K1446" t="str">
            <v>Bildirimli</v>
          </cell>
          <cell r="O1446">
            <v>0</v>
          </cell>
          <cell r="P1446">
            <v>23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1346.6500000760425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</row>
        <row r="1447">
          <cell r="C1447" t="str">
            <v>TEKİRDAĞ</v>
          </cell>
          <cell r="D1447" t="str">
            <v>SÜLEYMANPAŞA</v>
          </cell>
          <cell r="H1447" t="str">
            <v>Dağıtım-AG</v>
          </cell>
          <cell r="I1447" t="str">
            <v>Uzun</v>
          </cell>
          <cell r="J1447" t="str">
            <v>Şebeke işletmecisi</v>
          </cell>
          <cell r="K1447" t="str">
            <v>Bildirimsiz</v>
          </cell>
          <cell r="O1447">
            <v>0</v>
          </cell>
          <cell r="P1447">
            <v>326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19038.399999893736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</row>
        <row r="1448">
          <cell r="C1448" t="str">
            <v>KIRKLARELİ</v>
          </cell>
          <cell r="D1448" t="str">
            <v>KOFÇAZ</v>
          </cell>
          <cell r="H1448" t="str">
            <v>Dağıtım-OG</v>
          </cell>
          <cell r="I1448" t="str">
            <v>Uzun</v>
          </cell>
          <cell r="J1448" t="str">
            <v>Şebeke işletmecisi</v>
          </cell>
          <cell r="K1448" t="str">
            <v>Bildirimsiz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7</v>
          </cell>
          <cell r="T1448">
            <v>58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408.56666668318212</v>
          </cell>
          <cell r="Z1448">
            <v>3385.266666803509</v>
          </cell>
        </row>
        <row r="1449">
          <cell r="C1449" t="str">
            <v>EDİRNE</v>
          </cell>
          <cell r="D1449" t="str">
            <v>EDİRNEMERKEZ</v>
          </cell>
          <cell r="H1449" t="str">
            <v>Dağıtım-OG</v>
          </cell>
          <cell r="I1449" t="str">
            <v>Uzun</v>
          </cell>
          <cell r="J1449" t="str">
            <v>Şebeke işletmecisi</v>
          </cell>
          <cell r="K1449" t="str">
            <v>Bildirimsiz</v>
          </cell>
          <cell r="O1449">
            <v>3</v>
          </cell>
          <cell r="P1449">
            <v>47</v>
          </cell>
          <cell r="Q1449">
            <v>0</v>
          </cell>
          <cell r="R1449">
            <v>0</v>
          </cell>
          <cell r="S1449">
            <v>2</v>
          </cell>
          <cell r="T1449">
            <v>0</v>
          </cell>
          <cell r="U1449">
            <v>174.74999998812564</v>
          </cell>
          <cell r="V1449">
            <v>2737.7499998139683</v>
          </cell>
          <cell r="W1449">
            <v>0</v>
          </cell>
          <cell r="X1449">
            <v>0</v>
          </cell>
          <cell r="Y1449">
            <v>116.49999999208376</v>
          </cell>
          <cell r="Z1449">
            <v>0</v>
          </cell>
        </row>
        <row r="1450">
          <cell r="C1450" t="str">
            <v>TEKİRDAĞ</v>
          </cell>
          <cell r="D1450" t="str">
            <v>MALKARA</v>
          </cell>
          <cell r="H1450" t="str">
            <v>Dağıtım-AG</v>
          </cell>
          <cell r="I1450" t="str">
            <v>Uzun</v>
          </cell>
          <cell r="J1450" t="str">
            <v>Şebeke işletmecisi</v>
          </cell>
          <cell r="K1450" t="str">
            <v>Bildirimsiz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28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1630.5333334067836</v>
          </cell>
        </row>
        <row r="1451">
          <cell r="C1451" t="str">
            <v>KIRKLARELİ</v>
          </cell>
          <cell r="D1451" t="str">
            <v>VİZE</v>
          </cell>
          <cell r="H1451" t="str">
            <v>Dağıtım-OG</v>
          </cell>
          <cell r="I1451" t="str">
            <v>Uzun</v>
          </cell>
          <cell r="J1451" t="str">
            <v>Şebeke işletmecisi</v>
          </cell>
          <cell r="K1451" t="str">
            <v>Bildirimli</v>
          </cell>
          <cell r="O1451">
            <v>0</v>
          </cell>
          <cell r="P1451">
            <v>0</v>
          </cell>
          <cell r="Q1451">
            <v>1</v>
          </cell>
          <cell r="R1451">
            <v>0</v>
          </cell>
          <cell r="S1451">
            <v>23</v>
          </cell>
          <cell r="T1451">
            <v>1322</v>
          </cell>
          <cell r="U1451">
            <v>0</v>
          </cell>
          <cell r="V1451">
            <v>0</v>
          </cell>
          <cell r="W1451">
            <v>58.216666665393859</v>
          </cell>
          <cell r="X1451">
            <v>0</v>
          </cell>
          <cell r="Y1451">
            <v>1338.9833333040588</v>
          </cell>
          <cell r="Z1451">
            <v>76962.433331650682</v>
          </cell>
        </row>
        <row r="1452">
          <cell r="C1452" t="str">
            <v>TEKİRDAĞ</v>
          </cell>
          <cell r="D1452" t="str">
            <v>MALKARA</v>
          </cell>
          <cell r="H1452" t="str">
            <v>Dağıtım-AG</v>
          </cell>
          <cell r="I1452" t="str">
            <v>Uzun</v>
          </cell>
          <cell r="J1452" t="str">
            <v>Şebeke işletmecisi</v>
          </cell>
          <cell r="K1452" t="str">
            <v>Bildirimsiz</v>
          </cell>
          <cell r="O1452">
            <v>0</v>
          </cell>
          <cell r="P1452">
            <v>7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406.81666664080694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</row>
        <row r="1453">
          <cell r="C1453" t="str">
            <v>KIRKLARELİ</v>
          </cell>
          <cell r="D1453" t="str">
            <v>PINARHİSAR</v>
          </cell>
          <cell r="H1453" t="str">
            <v>Dağıtım-OG</v>
          </cell>
          <cell r="I1453" t="str">
            <v>Uzun</v>
          </cell>
          <cell r="J1453" t="str">
            <v>Şebeke işletmecisi</v>
          </cell>
          <cell r="K1453" t="str">
            <v>Bildirimsiz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12</v>
          </cell>
          <cell r="T1453">
            <v>289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696.79999994114041</v>
          </cell>
          <cell r="Z1453">
            <v>16781.266665249132</v>
          </cell>
        </row>
        <row r="1454">
          <cell r="C1454" t="str">
            <v>TEKİRDAĞ</v>
          </cell>
          <cell r="D1454" t="str">
            <v>SÜLEYMANPAŞA</v>
          </cell>
          <cell r="H1454" t="str">
            <v>Dağıtım-AG</v>
          </cell>
          <cell r="I1454" t="str">
            <v>Uzun</v>
          </cell>
          <cell r="J1454" t="str">
            <v>Şebeke işletmecisi</v>
          </cell>
          <cell r="K1454" t="str">
            <v>Bildirimsiz</v>
          </cell>
          <cell r="O1454">
            <v>0</v>
          </cell>
          <cell r="P1454">
            <v>55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3190.916666330304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</row>
        <row r="1455">
          <cell r="C1455" t="str">
            <v>TEKİRDAĞ</v>
          </cell>
          <cell r="D1455" t="str">
            <v>MARMARAEREĞLİSİ</v>
          </cell>
          <cell r="H1455" t="str">
            <v>Dağıtım-AG</v>
          </cell>
          <cell r="I1455" t="str">
            <v>Uzun</v>
          </cell>
          <cell r="J1455" t="str">
            <v>Şebeke İşletmecisi</v>
          </cell>
          <cell r="K1455" t="str">
            <v>Bildirimsiz</v>
          </cell>
          <cell r="O1455">
            <v>0</v>
          </cell>
          <cell r="P1455">
            <v>21</v>
          </cell>
          <cell r="Q1455">
            <v>0</v>
          </cell>
          <cell r="R1455">
            <v>0</v>
          </cell>
          <cell r="S1455">
            <v>0</v>
          </cell>
          <cell r="T1455">
            <v>1</v>
          </cell>
          <cell r="U1455">
            <v>0</v>
          </cell>
          <cell r="V1455">
            <v>1216.9499999843538</v>
          </cell>
          <cell r="W1455">
            <v>0</v>
          </cell>
          <cell r="X1455">
            <v>0</v>
          </cell>
          <cell r="Y1455">
            <v>0</v>
          </cell>
          <cell r="Z1455">
            <v>57.949999999254942</v>
          </cell>
        </row>
        <row r="1456">
          <cell r="C1456" t="str">
            <v>EDİRNE</v>
          </cell>
          <cell r="D1456" t="str">
            <v>MERİÇ</v>
          </cell>
          <cell r="H1456" t="str">
            <v>Dağıtım-OG</v>
          </cell>
          <cell r="I1456" t="str">
            <v>Uzun</v>
          </cell>
          <cell r="J1456" t="str">
            <v>Şebeke İşletmecisi</v>
          </cell>
          <cell r="K1456" t="str">
            <v>Bildirimsiz</v>
          </cell>
          <cell r="O1456">
            <v>0</v>
          </cell>
          <cell r="P1456">
            <v>3</v>
          </cell>
          <cell r="Q1456">
            <v>1</v>
          </cell>
          <cell r="R1456">
            <v>927</v>
          </cell>
          <cell r="S1456">
            <v>1</v>
          </cell>
          <cell r="T1456">
            <v>0</v>
          </cell>
          <cell r="U1456">
            <v>0</v>
          </cell>
          <cell r="V1456">
            <v>173.80000001750886</v>
          </cell>
          <cell r="W1456">
            <v>57.933333339169621</v>
          </cell>
          <cell r="X1456">
            <v>53704.200005410239</v>
          </cell>
          <cell r="Y1456">
            <v>57.933333339169621</v>
          </cell>
          <cell r="Z1456">
            <v>0</v>
          </cell>
        </row>
        <row r="1457">
          <cell r="C1457" t="str">
            <v>KIRKLARELİ</v>
          </cell>
          <cell r="D1457" t="str">
            <v>VİZE</v>
          </cell>
          <cell r="H1457" t="str">
            <v>Dağıtım-OG</v>
          </cell>
          <cell r="I1457" t="str">
            <v>Uzun</v>
          </cell>
          <cell r="J1457" t="str">
            <v>Şebeke işletmecisi</v>
          </cell>
          <cell r="K1457" t="str">
            <v>Bildirimsiz</v>
          </cell>
          <cell r="O1457">
            <v>0</v>
          </cell>
          <cell r="P1457">
            <v>10</v>
          </cell>
          <cell r="Q1457">
            <v>0</v>
          </cell>
          <cell r="R1457">
            <v>0</v>
          </cell>
          <cell r="S1457">
            <v>1</v>
          </cell>
          <cell r="T1457">
            <v>328</v>
          </cell>
          <cell r="U1457">
            <v>0</v>
          </cell>
          <cell r="V1457">
            <v>579.33333328692243</v>
          </cell>
          <cell r="W1457">
            <v>0</v>
          </cell>
          <cell r="X1457">
            <v>0</v>
          </cell>
          <cell r="Y1457">
            <v>57.933333328692243</v>
          </cell>
          <cell r="Z1457">
            <v>19002.133331811056</v>
          </cell>
        </row>
        <row r="1458">
          <cell r="C1458" t="str">
            <v>TEKİRDAĞ</v>
          </cell>
          <cell r="D1458" t="str">
            <v>MALKARA</v>
          </cell>
          <cell r="H1458" t="str">
            <v>Dağıtım-AG</v>
          </cell>
          <cell r="I1458" t="str">
            <v>Uzun</v>
          </cell>
          <cell r="J1458" t="str">
            <v>Şebeke işletmecisi</v>
          </cell>
          <cell r="K1458" t="str">
            <v>Bildirimsiz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11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637.08333335467614</v>
          </cell>
        </row>
        <row r="1459">
          <cell r="C1459" t="str">
            <v>TEKİRDAĞ</v>
          </cell>
          <cell r="D1459" t="str">
            <v>SARAY</v>
          </cell>
          <cell r="H1459" t="str">
            <v>Dağıtım-AG</v>
          </cell>
          <cell r="I1459" t="str">
            <v>Uzun</v>
          </cell>
          <cell r="J1459" t="str">
            <v>Şebeke işletmecisi</v>
          </cell>
          <cell r="K1459" t="str">
            <v>Bildirimsiz</v>
          </cell>
          <cell r="O1459">
            <v>0</v>
          </cell>
          <cell r="P1459">
            <v>0</v>
          </cell>
          <cell r="Q1459">
            <v>0</v>
          </cell>
          <cell r="R1459">
            <v>3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173.29999999492429</v>
          </cell>
          <cell r="Y1459">
            <v>0</v>
          </cell>
          <cell r="Z1459">
            <v>0</v>
          </cell>
        </row>
        <row r="1460">
          <cell r="C1460" t="str">
            <v>KIRKLARELİ</v>
          </cell>
          <cell r="D1460" t="str">
            <v>KOFÇAZ</v>
          </cell>
          <cell r="H1460" t="str">
            <v>Dağıtım-OG</v>
          </cell>
          <cell r="I1460" t="str">
            <v>Uzun</v>
          </cell>
          <cell r="J1460" t="str">
            <v>Şebeke işletmecisi</v>
          </cell>
          <cell r="K1460" t="str">
            <v>Bildirimsiz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7</v>
          </cell>
          <cell r="T1460">
            <v>59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403.31666670273989</v>
          </cell>
          <cell r="Z1460">
            <v>3399.3833336373791</v>
          </cell>
        </row>
        <row r="1461">
          <cell r="C1461" t="str">
            <v>TEKİRDAĞ</v>
          </cell>
          <cell r="D1461" t="str">
            <v>HAYRABOLU</v>
          </cell>
          <cell r="H1461" t="str">
            <v>Dağıtım-OG</v>
          </cell>
          <cell r="I1461" t="str">
            <v>Uzun</v>
          </cell>
          <cell r="J1461" t="str">
            <v>Şebeke işletmecisi</v>
          </cell>
          <cell r="K1461" t="str">
            <v>Bildirimli</v>
          </cell>
          <cell r="O1461">
            <v>0</v>
          </cell>
          <cell r="P1461">
            <v>0</v>
          </cell>
          <cell r="Q1461">
            <v>0</v>
          </cell>
          <cell r="R1461">
            <v>86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4955.0333337765187</v>
          </cell>
          <cell r="Y1461">
            <v>0</v>
          </cell>
          <cell r="Z1461">
            <v>0</v>
          </cell>
        </row>
        <row r="1462">
          <cell r="C1462" t="str">
            <v>TEKİRDAĞ</v>
          </cell>
          <cell r="D1462" t="str">
            <v>SÜLEYMANPAŞA</v>
          </cell>
          <cell r="H1462" t="str">
            <v>Dağıtım-AG</v>
          </cell>
          <cell r="I1462" t="str">
            <v>Uzun</v>
          </cell>
          <cell r="J1462" t="str">
            <v>Şebeke işletmecisi</v>
          </cell>
          <cell r="K1462" t="str">
            <v>Bildirimsiz</v>
          </cell>
          <cell r="O1462">
            <v>0</v>
          </cell>
          <cell r="P1462">
            <v>3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172.25000000093132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</row>
        <row r="1463">
          <cell r="C1463" t="str">
            <v>TEKİRDAĞ</v>
          </cell>
          <cell r="D1463" t="str">
            <v>MARMARAEREĞLİSİ</v>
          </cell>
          <cell r="H1463" t="str">
            <v>Dağıtım-OG</v>
          </cell>
          <cell r="I1463" t="str">
            <v>Uzun</v>
          </cell>
          <cell r="J1463" t="str">
            <v>Şebeke işletmecisi</v>
          </cell>
          <cell r="K1463" t="str">
            <v>Bildirimsiz</v>
          </cell>
          <cell r="O1463">
            <v>0</v>
          </cell>
          <cell r="P1463">
            <v>1040</v>
          </cell>
          <cell r="Q1463">
            <v>3</v>
          </cell>
          <cell r="R1463">
            <v>3012</v>
          </cell>
          <cell r="S1463">
            <v>0</v>
          </cell>
          <cell r="T1463">
            <v>2</v>
          </cell>
          <cell r="U1463">
            <v>0</v>
          </cell>
          <cell r="V1463">
            <v>59678.666669782251</v>
          </cell>
          <cell r="W1463">
            <v>172.15000000898726</v>
          </cell>
          <cell r="X1463">
            <v>172838.60000902321</v>
          </cell>
          <cell r="Y1463">
            <v>0</v>
          </cell>
          <cell r="Z1463">
            <v>114.76666667265818</v>
          </cell>
        </row>
        <row r="1464">
          <cell r="C1464" t="str">
            <v>KIRKLARELİ</v>
          </cell>
          <cell r="D1464" t="str">
            <v>VİZE</v>
          </cell>
          <cell r="H1464" t="str">
            <v>Dağıtım-OG</v>
          </cell>
          <cell r="I1464" t="str">
            <v>Uzun</v>
          </cell>
          <cell r="J1464" t="str">
            <v>Şebeke işletmecisi</v>
          </cell>
          <cell r="K1464" t="str">
            <v>Bildirimsiz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1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57.316666664555669</v>
          </cell>
          <cell r="Z1464">
            <v>0</v>
          </cell>
        </row>
        <row r="1465">
          <cell r="C1465" t="str">
            <v>EDİRNE</v>
          </cell>
          <cell r="D1465" t="str">
            <v>UZUNKÖPRÜ</v>
          </cell>
          <cell r="H1465" t="str">
            <v>Dağıtım-AG</v>
          </cell>
          <cell r="I1465" t="str">
            <v>Uzun</v>
          </cell>
          <cell r="J1465" t="str">
            <v>Şebeke işletmecisi</v>
          </cell>
          <cell r="K1465" t="str">
            <v>Bildirimsiz</v>
          </cell>
          <cell r="O1465">
            <v>0</v>
          </cell>
          <cell r="P1465">
            <v>0</v>
          </cell>
          <cell r="Q1465">
            <v>0</v>
          </cell>
          <cell r="R1465">
            <v>4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229.1333333356306</v>
          </cell>
          <cell r="Y1465">
            <v>0</v>
          </cell>
          <cell r="Z1465">
            <v>0</v>
          </cell>
        </row>
        <row r="1466">
          <cell r="C1466" t="str">
            <v>TEKİRDAĞ</v>
          </cell>
          <cell r="D1466" t="str">
            <v>ŞARKÖY</v>
          </cell>
          <cell r="H1466" t="str">
            <v>Dağıtım-OG</v>
          </cell>
          <cell r="I1466" t="str">
            <v>Uzun</v>
          </cell>
          <cell r="J1466" t="str">
            <v>Şebeke işletmecisi</v>
          </cell>
          <cell r="K1466" t="str">
            <v>Bildirimli</v>
          </cell>
          <cell r="O1466">
            <v>0</v>
          </cell>
          <cell r="P1466">
            <v>1</v>
          </cell>
          <cell r="Q1466">
            <v>0</v>
          </cell>
          <cell r="R1466">
            <v>4</v>
          </cell>
          <cell r="S1466">
            <v>10</v>
          </cell>
          <cell r="T1466">
            <v>2057</v>
          </cell>
          <cell r="U1466">
            <v>0</v>
          </cell>
          <cell r="V1466">
            <v>57.24999999278225</v>
          </cell>
          <cell r="W1466">
            <v>0</v>
          </cell>
          <cell r="X1466">
            <v>228.999999971129</v>
          </cell>
          <cell r="Y1466">
            <v>572.4999999278225</v>
          </cell>
          <cell r="Z1466">
            <v>117763.24998515309</v>
          </cell>
        </row>
        <row r="1467">
          <cell r="C1467" t="str">
            <v>KIRKLARELİ</v>
          </cell>
          <cell r="D1467" t="str">
            <v>VİZE</v>
          </cell>
          <cell r="H1467" t="str">
            <v>Dağıtım-OG</v>
          </cell>
          <cell r="I1467" t="str">
            <v>Uzun</v>
          </cell>
          <cell r="J1467" t="str">
            <v>Şebeke işletmecisi</v>
          </cell>
          <cell r="K1467" t="str">
            <v>Bildirimsiz</v>
          </cell>
          <cell r="O1467">
            <v>0</v>
          </cell>
          <cell r="P1467">
            <v>10</v>
          </cell>
          <cell r="Q1467">
            <v>0</v>
          </cell>
          <cell r="R1467">
            <v>0</v>
          </cell>
          <cell r="S1467">
            <v>2</v>
          </cell>
          <cell r="T1467">
            <v>328</v>
          </cell>
          <cell r="U1467">
            <v>0</v>
          </cell>
          <cell r="V1467">
            <v>572.3333333269693</v>
          </cell>
          <cell r="W1467">
            <v>0</v>
          </cell>
          <cell r="X1467">
            <v>0</v>
          </cell>
          <cell r="Y1467">
            <v>114.46666666539386</v>
          </cell>
          <cell r="Z1467">
            <v>18772.533333124593</v>
          </cell>
        </row>
        <row r="1468">
          <cell r="C1468" t="str">
            <v>EDİRNE</v>
          </cell>
          <cell r="D1468" t="str">
            <v>ENEZ</v>
          </cell>
          <cell r="H1468" t="str">
            <v>Dağıtım-OG</v>
          </cell>
          <cell r="I1468" t="str">
            <v>Uzun</v>
          </cell>
          <cell r="J1468" t="str">
            <v>Şebeke işletmecisi</v>
          </cell>
          <cell r="K1468" t="str">
            <v>Bildirimsiz</v>
          </cell>
          <cell r="O1468">
            <v>0</v>
          </cell>
          <cell r="P1468">
            <v>0</v>
          </cell>
          <cell r="Q1468">
            <v>1</v>
          </cell>
          <cell r="R1468">
            <v>459</v>
          </cell>
          <cell r="S1468">
            <v>0</v>
          </cell>
          <cell r="T1468">
            <v>1</v>
          </cell>
          <cell r="U1468">
            <v>0</v>
          </cell>
          <cell r="V1468">
            <v>0</v>
          </cell>
          <cell r="W1468">
            <v>57.18333333148621</v>
          </cell>
          <cell r="X1468">
            <v>26247.14999915217</v>
          </cell>
          <cell r="Y1468">
            <v>0</v>
          </cell>
          <cell r="Z1468">
            <v>57.18333333148621</v>
          </cell>
        </row>
        <row r="1469">
          <cell r="C1469" t="str">
            <v>KIRKLARELİ</v>
          </cell>
          <cell r="D1469" t="str">
            <v>DEMİRKÖY</v>
          </cell>
          <cell r="H1469" t="str">
            <v>Dağıtım-AG</v>
          </cell>
          <cell r="I1469" t="str">
            <v>Uzun</v>
          </cell>
          <cell r="J1469" t="str">
            <v>Şebeke işletmecisi</v>
          </cell>
          <cell r="K1469" t="str">
            <v>Bildirimsiz</v>
          </cell>
          <cell r="O1469">
            <v>0</v>
          </cell>
          <cell r="P1469">
            <v>0</v>
          </cell>
          <cell r="Q1469">
            <v>0</v>
          </cell>
          <cell r="R1469">
            <v>1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57.16666667140089</v>
          </cell>
          <cell r="Y1469">
            <v>0</v>
          </cell>
          <cell r="Z1469">
            <v>0</v>
          </cell>
        </row>
        <row r="1470">
          <cell r="C1470" t="str">
            <v>TEKİRDAĞ</v>
          </cell>
          <cell r="D1470" t="str">
            <v>ÇERKEZKÖY</v>
          </cell>
          <cell r="H1470" t="str">
            <v>Dağıtım-OG</v>
          </cell>
          <cell r="I1470" t="str">
            <v>Uzun</v>
          </cell>
          <cell r="J1470" t="str">
            <v>Şebeke işletmecisi</v>
          </cell>
          <cell r="K1470" t="str">
            <v>Bildirimli</v>
          </cell>
          <cell r="O1470">
            <v>2</v>
          </cell>
          <cell r="P1470">
            <v>1165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114.16666665812954</v>
          </cell>
          <cell r="V1470">
            <v>66502.083328360459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</row>
        <row r="1471">
          <cell r="C1471" t="str">
            <v>KIRKLARELİ</v>
          </cell>
          <cell r="D1471" t="str">
            <v>LÜLEBURGAZ</v>
          </cell>
          <cell r="H1471" t="str">
            <v>Dağıtım-AG</v>
          </cell>
          <cell r="I1471" t="str">
            <v>Uzun</v>
          </cell>
          <cell r="J1471" t="str">
            <v>Şebeke işletmecisi</v>
          </cell>
          <cell r="K1471" t="str">
            <v>Bildirimsiz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2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114.1333333379589</v>
          </cell>
        </row>
        <row r="1472">
          <cell r="C1472" t="str">
            <v>TEKİRDAĞ</v>
          </cell>
          <cell r="D1472" t="str">
            <v>ŞARKÖY</v>
          </cell>
          <cell r="H1472" t="str">
            <v>Dağıtım-AG</v>
          </cell>
          <cell r="I1472" t="str">
            <v>Uzun</v>
          </cell>
          <cell r="J1472" t="str">
            <v>Şebeke işletmecisi</v>
          </cell>
          <cell r="K1472" t="str">
            <v>Bildirimsiz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3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171.00000002305023</v>
          </cell>
        </row>
        <row r="1473">
          <cell r="C1473" t="str">
            <v>TEKİRDAĞ</v>
          </cell>
          <cell r="D1473" t="str">
            <v>SARAY</v>
          </cell>
          <cell r="H1473" t="str">
            <v>Dağıtım-AG</v>
          </cell>
          <cell r="I1473" t="str">
            <v>Uzun</v>
          </cell>
          <cell r="J1473" t="str">
            <v>Şebeke işletmecisi</v>
          </cell>
          <cell r="K1473" t="str">
            <v>Bildirimsiz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8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455.99999997764826</v>
          </cell>
        </row>
        <row r="1474">
          <cell r="C1474" t="str">
            <v>EDİRNE</v>
          </cell>
          <cell r="D1474" t="str">
            <v>EDİRNEMERKEZ</v>
          </cell>
          <cell r="H1474" t="str">
            <v>Dağıtım-OG</v>
          </cell>
          <cell r="I1474" t="str">
            <v>Uzun</v>
          </cell>
          <cell r="J1474" t="str">
            <v>Şebeke işletmecisi</v>
          </cell>
          <cell r="K1474" t="str">
            <v>Bildirimsiz</v>
          </cell>
          <cell r="O1474">
            <v>12</v>
          </cell>
          <cell r="P1474">
            <v>56</v>
          </cell>
          <cell r="Q1474">
            <v>2</v>
          </cell>
          <cell r="R1474">
            <v>2</v>
          </cell>
          <cell r="S1474">
            <v>54</v>
          </cell>
          <cell r="T1474">
            <v>3614</v>
          </cell>
          <cell r="U1474">
            <v>683.39999995194376</v>
          </cell>
          <cell r="V1474">
            <v>3189.1999997757375</v>
          </cell>
          <cell r="W1474">
            <v>113.89999999199063</v>
          </cell>
          <cell r="X1474">
            <v>113.89999999199063</v>
          </cell>
          <cell r="Y1474">
            <v>3075.2999997837469</v>
          </cell>
          <cell r="Z1474">
            <v>205817.29998552706</v>
          </cell>
        </row>
        <row r="1475">
          <cell r="C1475" t="str">
            <v>KIRKLARELİ</v>
          </cell>
          <cell r="D1475" t="str">
            <v>DEMİRKÖY</v>
          </cell>
          <cell r="H1475" t="str">
            <v>Dağıtım-OG</v>
          </cell>
          <cell r="I1475" t="str">
            <v>Uzun</v>
          </cell>
          <cell r="J1475" t="str">
            <v>Şebeke işletmecisi</v>
          </cell>
          <cell r="K1475" t="str">
            <v>Bildirimsiz</v>
          </cell>
          <cell r="O1475">
            <v>0</v>
          </cell>
          <cell r="P1475">
            <v>0</v>
          </cell>
          <cell r="Q1475">
            <v>1</v>
          </cell>
          <cell r="R1475">
            <v>11</v>
          </cell>
          <cell r="S1475">
            <v>3</v>
          </cell>
          <cell r="T1475">
            <v>440</v>
          </cell>
          <cell r="U1475">
            <v>0</v>
          </cell>
          <cell r="V1475">
            <v>0</v>
          </cell>
          <cell r="W1475">
            <v>56.916666665347293</v>
          </cell>
          <cell r="X1475">
            <v>626.08333331882022</v>
          </cell>
          <cell r="Y1475">
            <v>170.74999999604188</v>
          </cell>
          <cell r="Z1475">
            <v>25043.333332752809</v>
          </cell>
        </row>
        <row r="1476">
          <cell r="C1476" t="str">
            <v>KIRKLARELİ</v>
          </cell>
          <cell r="D1476" t="str">
            <v>KOFÇAZ</v>
          </cell>
          <cell r="H1476" t="str">
            <v>Dağıtım-AG</v>
          </cell>
          <cell r="I1476" t="str">
            <v>Uzun</v>
          </cell>
          <cell r="J1476" t="str">
            <v>Şebeke işletmecisi</v>
          </cell>
          <cell r="K1476" t="str">
            <v>Bildirimsiz</v>
          </cell>
          <cell r="O1476">
            <v>0</v>
          </cell>
          <cell r="P1476">
            <v>0</v>
          </cell>
          <cell r="Q1476">
            <v>0</v>
          </cell>
          <cell r="R1476">
            <v>20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1136.3333332585171</v>
          </cell>
          <cell r="Y1476">
            <v>0</v>
          </cell>
          <cell r="Z1476">
            <v>0</v>
          </cell>
        </row>
        <row r="1477">
          <cell r="C1477" t="str">
            <v>EDİRNE</v>
          </cell>
          <cell r="D1477" t="str">
            <v>EDİRNEMERKEZ</v>
          </cell>
          <cell r="H1477" t="str">
            <v>Dağıtım-OG</v>
          </cell>
          <cell r="I1477" t="str">
            <v>Uzun</v>
          </cell>
          <cell r="J1477" t="str">
            <v>Şebeke işletmecisi</v>
          </cell>
          <cell r="K1477" t="str">
            <v>Bildirimsiz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1</v>
          </cell>
          <cell r="T1477">
            <v>111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56.800000002840534</v>
          </cell>
          <cell r="Z1477">
            <v>6304.8000003152993</v>
          </cell>
        </row>
        <row r="1478">
          <cell r="C1478" t="str">
            <v>EDİRNE</v>
          </cell>
          <cell r="D1478" t="str">
            <v>UZUNKÖPRÜ</v>
          </cell>
          <cell r="H1478" t="str">
            <v>Dağıtım-AG</v>
          </cell>
          <cell r="I1478" t="str">
            <v>Uzun</v>
          </cell>
          <cell r="J1478" t="str">
            <v>Şebeke işletmecisi</v>
          </cell>
          <cell r="K1478" t="str">
            <v>Bildirimsiz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103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5848.6833332246169</v>
          </cell>
        </row>
        <row r="1479">
          <cell r="C1479" t="str">
            <v>TEKİRDAĞ</v>
          </cell>
          <cell r="D1479" t="str">
            <v>SÜLEYMANPAŞA</v>
          </cell>
          <cell r="H1479" t="str">
            <v>Dağıtım-AG</v>
          </cell>
          <cell r="I1479" t="str">
            <v>Uzun</v>
          </cell>
          <cell r="J1479" t="str">
            <v>Şebeke işletmecisi</v>
          </cell>
          <cell r="K1479" t="str">
            <v>Bildirimsiz</v>
          </cell>
          <cell r="O1479">
            <v>0</v>
          </cell>
          <cell r="P1479">
            <v>338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19158.966665491462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</row>
        <row r="1480">
          <cell r="C1480" t="str">
            <v>KIRKLARELİ</v>
          </cell>
          <cell r="D1480" t="str">
            <v>LÜLEBURGAZ</v>
          </cell>
          <cell r="H1480" t="str">
            <v>Dağıtım-AG</v>
          </cell>
          <cell r="I1480" t="str">
            <v>Uzun</v>
          </cell>
          <cell r="J1480" t="str">
            <v>Şebeke işletmecisi</v>
          </cell>
          <cell r="K1480" t="str">
            <v>Bildirimsiz</v>
          </cell>
          <cell r="O1480">
            <v>0</v>
          </cell>
          <cell r="P1480">
            <v>0</v>
          </cell>
          <cell r="Q1480">
            <v>0</v>
          </cell>
          <cell r="R1480">
            <v>19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1076.9833332672715</v>
          </cell>
          <cell r="Y1480">
            <v>0</v>
          </cell>
          <cell r="Z1480">
            <v>0</v>
          </cell>
        </row>
        <row r="1481">
          <cell r="C1481" t="str">
            <v>EDİRNE</v>
          </cell>
          <cell r="D1481" t="str">
            <v>UZUNKÖPRÜ</v>
          </cell>
          <cell r="H1481" t="str">
            <v>Dağıtım-AG</v>
          </cell>
          <cell r="I1481" t="str">
            <v>Uzun</v>
          </cell>
          <cell r="J1481" t="str">
            <v>Şebeke işletmecisi</v>
          </cell>
          <cell r="K1481" t="str">
            <v>Bildirimsiz</v>
          </cell>
          <cell r="O1481">
            <v>0</v>
          </cell>
          <cell r="P1481">
            <v>12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679.40000002272427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</row>
        <row r="1482">
          <cell r="C1482" t="str">
            <v>TEKİRDAĞ</v>
          </cell>
          <cell r="D1482" t="str">
            <v>MURATLI</v>
          </cell>
          <cell r="H1482" t="str">
            <v>Dağıtım-OG</v>
          </cell>
          <cell r="I1482" t="str">
            <v>Uzun</v>
          </cell>
          <cell r="J1482" t="str">
            <v>Şebeke işletmecisi</v>
          </cell>
          <cell r="K1482" t="str">
            <v>Bildirimli</v>
          </cell>
          <cell r="O1482">
            <v>0</v>
          </cell>
          <cell r="P1482">
            <v>94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5315.7000006828457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</row>
        <row r="1483">
          <cell r="C1483" t="str">
            <v>TEKİRDAĞ</v>
          </cell>
          <cell r="D1483" t="str">
            <v>ŞARKÖY</v>
          </cell>
          <cell r="H1483" t="str">
            <v>Dağıtım-AG</v>
          </cell>
          <cell r="I1483" t="str">
            <v>Uzun</v>
          </cell>
          <cell r="J1483" t="str">
            <v>Dışsal</v>
          </cell>
          <cell r="K1483" t="str">
            <v>Bildirimsiz</v>
          </cell>
          <cell r="O1483">
            <v>0</v>
          </cell>
          <cell r="P1483">
            <v>0</v>
          </cell>
          <cell r="Q1483">
            <v>0</v>
          </cell>
          <cell r="R1483">
            <v>245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13850.666667491896</v>
          </cell>
          <cell r="Y1483">
            <v>0</v>
          </cell>
          <cell r="Z1483">
            <v>0</v>
          </cell>
        </row>
        <row r="1484">
          <cell r="C1484" t="str">
            <v>TEKİRDAĞ</v>
          </cell>
          <cell r="D1484" t="str">
            <v>HAYRABOLU</v>
          </cell>
          <cell r="H1484" t="str">
            <v>Dağıtım-OG</v>
          </cell>
          <cell r="I1484" t="str">
            <v>Uzun</v>
          </cell>
          <cell r="J1484" t="str">
            <v>Şebeke işletmecisi</v>
          </cell>
          <cell r="K1484" t="str">
            <v>Bildirimli</v>
          </cell>
          <cell r="O1484">
            <v>0</v>
          </cell>
          <cell r="P1484">
            <v>0</v>
          </cell>
          <cell r="Q1484">
            <v>0</v>
          </cell>
          <cell r="R1484">
            <v>11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621.50000006658956</v>
          </cell>
          <cell r="Y1484">
            <v>0</v>
          </cell>
          <cell r="Z1484">
            <v>0</v>
          </cell>
        </row>
        <row r="1485">
          <cell r="C1485" t="str">
            <v>TEKİRDAĞ</v>
          </cell>
          <cell r="D1485" t="str">
            <v>KAPAKLI</v>
          </cell>
          <cell r="H1485" t="str">
            <v>Dağıtım-AG</v>
          </cell>
          <cell r="I1485" t="str">
            <v>Uzun</v>
          </cell>
          <cell r="J1485" t="str">
            <v>Şebeke işletmecisi</v>
          </cell>
          <cell r="K1485" t="str">
            <v>Bildirimsiz</v>
          </cell>
          <cell r="O1485">
            <v>0</v>
          </cell>
          <cell r="P1485">
            <v>54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3050.1000001165085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</row>
        <row r="1486">
          <cell r="C1486" t="str">
            <v>TEKİRDAĞ</v>
          </cell>
          <cell r="D1486" t="str">
            <v>ÇORLU</v>
          </cell>
          <cell r="H1486" t="str">
            <v>Dağıtım-OG</v>
          </cell>
          <cell r="I1486" t="str">
            <v>Uzun</v>
          </cell>
          <cell r="J1486" t="str">
            <v>Şebeke işletmecisi</v>
          </cell>
          <cell r="K1486" t="str">
            <v>Bildirimsiz</v>
          </cell>
          <cell r="O1486">
            <v>0</v>
          </cell>
          <cell r="P1486">
            <v>23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1298.7333332933486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</row>
        <row r="1487">
          <cell r="C1487" t="str">
            <v>EDİRNE</v>
          </cell>
          <cell r="D1487" t="str">
            <v>UZUNKÖPRÜ</v>
          </cell>
          <cell r="H1487" t="str">
            <v>Dağıtım-OG</v>
          </cell>
          <cell r="I1487" t="str">
            <v>Uzun</v>
          </cell>
          <cell r="J1487" t="str">
            <v>Şebeke işletmecisi</v>
          </cell>
          <cell r="K1487" t="str">
            <v>Bildirimsiz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2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112.83333332743496</v>
          </cell>
          <cell r="Z1487">
            <v>0</v>
          </cell>
        </row>
        <row r="1488">
          <cell r="C1488" t="str">
            <v>TEKİRDAĞ</v>
          </cell>
          <cell r="D1488" t="str">
            <v>SARAY</v>
          </cell>
          <cell r="H1488" t="str">
            <v>Dağıtım-AG</v>
          </cell>
          <cell r="I1488" t="str">
            <v>Uzun</v>
          </cell>
          <cell r="J1488" t="str">
            <v>Şebeke işletmecisi</v>
          </cell>
          <cell r="K1488" t="str">
            <v>Bildirimsiz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2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112.76666666613892</v>
          </cell>
        </row>
        <row r="1489">
          <cell r="C1489" t="str">
            <v>KIRKLARELİ</v>
          </cell>
          <cell r="D1489" t="str">
            <v>BABAESKİ</v>
          </cell>
          <cell r="H1489" t="str">
            <v>Dağıtım-OG</v>
          </cell>
          <cell r="I1489" t="str">
            <v>Uzun</v>
          </cell>
          <cell r="J1489" t="str">
            <v>Şebeke işletmecisi</v>
          </cell>
          <cell r="K1489" t="str">
            <v>Bildirimsiz</v>
          </cell>
          <cell r="O1489">
            <v>33</v>
          </cell>
          <cell r="P1489">
            <v>3</v>
          </cell>
          <cell r="Q1489">
            <v>0</v>
          </cell>
          <cell r="R1489">
            <v>0</v>
          </cell>
          <cell r="S1489">
            <v>3</v>
          </cell>
          <cell r="T1489">
            <v>0</v>
          </cell>
          <cell r="U1489">
            <v>1858.9999999513384</v>
          </cell>
          <cell r="V1489">
            <v>168.99999999557622</v>
          </cell>
          <cell r="W1489">
            <v>0</v>
          </cell>
          <cell r="X1489">
            <v>0</v>
          </cell>
          <cell r="Y1489">
            <v>168.99999999557622</v>
          </cell>
          <cell r="Z1489">
            <v>0</v>
          </cell>
        </row>
        <row r="1490">
          <cell r="C1490" t="str">
            <v>TEKİRDAĞ</v>
          </cell>
          <cell r="D1490" t="str">
            <v>ERGENE</v>
          </cell>
          <cell r="H1490" t="str">
            <v>Dağıtım-AG</v>
          </cell>
          <cell r="I1490" t="str">
            <v>Uzun</v>
          </cell>
          <cell r="J1490" t="str">
            <v>Şebeke işletmecisi</v>
          </cell>
          <cell r="K1490" t="str">
            <v>Bildirimsiz</v>
          </cell>
          <cell r="O1490">
            <v>0</v>
          </cell>
          <cell r="P1490">
            <v>108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6076.7999992892146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</row>
        <row r="1491">
          <cell r="C1491" t="str">
            <v>EDİRNE</v>
          </cell>
          <cell r="D1491" t="str">
            <v>HAVSA</v>
          </cell>
          <cell r="H1491" t="str">
            <v>Dağıtım-OG</v>
          </cell>
          <cell r="I1491" t="str">
            <v>Uzun</v>
          </cell>
          <cell r="J1491" t="str">
            <v>Şebeke işletmecisi</v>
          </cell>
          <cell r="K1491" t="str">
            <v>Bildirimsiz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2</v>
          </cell>
          <cell r="T1491">
            <v>1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112.43333333870396</v>
          </cell>
          <cell r="Z1491">
            <v>56.21666666935198</v>
          </cell>
        </row>
        <row r="1492">
          <cell r="C1492" t="str">
            <v>KIRKLARELİ</v>
          </cell>
          <cell r="D1492" t="str">
            <v>PEHLİVANKÖY</v>
          </cell>
          <cell r="H1492" t="str">
            <v>Dağıtım-OG</v>
          </cell>
          <cell r="I1492" t="str">
            <v>Uzun</v>
          </cell>
          <cell r="J1492" t="str">
            <v>Şebeke işletmecisi</v>
          </cell>
          <cell r="K1492" t="str">
            <v>Bildirimsiz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15</v>
          </cell>
          <cell r="T1492">
            <v>628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842.99999998183921</v>
          </cell>
          <cell r="Z1492">
            <v>35293.599999239668</v>
          </cell>
        </row>
        <row r="1493">
          <cell r="C1493" t="str">
            <v>TEKİRDAĞ</v>
          </cell>
          <cell r="D1493" t="str">
            <v>SARAY</v>
          </cell>
          <cell r="H1493" t="str">
            <v>Dağıtım-AG</v>
          </cell>
          <cell r="I1493" t="str">
            <v>Uzun</v>
          </cell>
          <cell r="J1493" t="str">
            <v>Şebeke işletmecisi</v>
          </cell>
          <cell r="K1493" t="str">
            <v>Bildirimsiz</v>
          </cell>
          <cell r="O1493">
            <v>0</v>
          </cell>
          <cell r="P1493">
            <v>0</v>
          </cell>
          <cell r="Q1493">
            <v>0</v>
          </cell>
          <cell r="R1493">
            <v>39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2186.5999999630731</v>
          </cell>
          <cell r="Y1493">
            <v>0</v>
          </cell>
          <cell r="Z1493">
            <v>0</v>
          </cell>
        </row>
        <row r="1494">
          <cell r="C1494" t="str">
            <v>TEKİRDAĞ</v>
          </cell>
          <cell r="D1494" t="str">
            <v>ÇERKEZKÖY</v>
          </cell>
          <cell r="H1494" t="str">
            <v>Dağıtım-OG</v>
          </cell>
          <cell r="I1494" t="str">
            <v>Uzun</v>
          </cell>
          <cell r="J1494" t="str">
            <v>Şebeke işletmecisi</v>
          </cell>
          <cell r="K1494" t="str">
            <v>Bildirimsiz</v>
          </cell>
          <cell r="O1494">
            <v>41</v>
          </cell>
          <cell r="P1494">
            <v>27229</v>
          </cell>
          <cell r="Q1494">
            <v>0</v>
          </cell>
          <cell r="R1494">
            <v>12</v>
          </cell>
          <cell r="S1494">
            <v>0</v>
          </cell>
          <cell r="T1494">
            <v>0</v>
          </cell>
          <cell r="U1494">
            <v>2297.3666667379439</v>
          </cell>
          <cell r="V1494">
            <v>1525731.6333806701</v>
          </cell>
          <cell r="W1494">
            <v>0</v>
          </cell>
          <cell r="X1494">
            <v>672.40000002086163</v>
          </cell>
          <cell r="Y1494">
            <v>0</v>
          </cell>
          <cell r="Z1494">
            <v>0</v>
          </cell>
        </row>
        <row r="1495">
          <cell r="C1495" t="str">
            <v>TEKİRDAĞ</v>
          </cell>
          <cell r="D1495" t="str">
            <v>SARAY</v>
          </cell>
          <cell r="H1495" t="str">
            <v>Dağıtım-AG</v>
          </cell>
          <cell r="I1495" t="str">
            <v>Uzun</v>
          </cell>
          <cell r="J1495" t="str">
            <v>Şebeke işletmecisi</v>
          </cell>
          <cell r="K1495" t="str">
            <v>Bildirimsiz</v>
          </cell>
          <cell r="O1495">
            <v>0</v>
          </cell>
          <cell r="P1495">
            <v>0</v>
          </cell>
          <cell r="Q1495">
            <v>0</v>
          </cell>
          <cell r="R1495">
            <v>14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784.00000006193295</v>
          </cell>
          <cell r="Y1495">
            <v>0</v>
          </cell>
          <cell r="Z1495">
            <v>0</v>
          </cell>
        </row>
        <row r="1496">
          <cell r="C1496" t="str">
            <v>EDİRNE</v>
          </cell>
          <cell r="D1496" t="str">
            <v>HAVSA</v>
          </cell>
          <cell r="H1496" t="str">
            <v>Dağıtım-OG</v>
          </cell>
          <cell r="I1496" t="str">
            <v>Uzun</v>
          </cell>
          <cell r="J1496" t="str">
            <v>Şebeke işletmecisi</v>
          </cell>
          <cell r="K1496" t="str">
            <v>Bildirimsiz</v>
          </cell>
          <cell r="O1496">
            <v>5</v>
          </cell>
          <cell r="P1496">
            <v>0</v>
          </cell>
          <cell r="Q1496">
            <v>3</v>
          </cell>
          <cell r="R1496">
            <v>1</v>
          </cell>
          <cell r="S1496">
            <v>14</v>
          </cell>
          <cell r="T1496">
            <v>663</v>
          </cell>
          <cell r="U1496">
            <v>279.83333331649192</v>
          </cell>
          <cell r="V1496">
            <v>0</v>
          </cell>
          <cell r="W1496">
            <v>167.89999998989515</v>
          </cell>
          <cell r="X1496">
            <v>55.966666663298383</v>
          </cell>
          <cell r="Y1496">
            <v>783.53333328617737</v>
          </cell>
          <cell r="Z1496">
            <v>37105.899997766828</v>
          </cell>
        </row>
        <row r="1497">
          <cell r="C1497" t="str">
            <v>KIRKLARELİ</v>
          </cell>
          <cell r="D1497" t="str">
            <v>LÜLEBURGAZ</v>
          </cell>
          <cell r="H1497" t="str">
            <v>Dağıtım-OG</v>
          </cell>
          <cell r="I1497" t="str">
            <v>Uzun</v>
          </cell>
          <cell r="J1497" t="str">
            <v>Şebeke işletmecisi</v>
          </cell>
          <cell r="K1497" t="str">
            <v>Bildirimsiz</v>
          </cell>
          <cell r="O1497">
            <v>22</v>
          </cell>
          <cell r="P1497">
            <v>0</v>
          </cell>
          <cell r="Q1497">
            <v>0</v>
          </cell>
          <cell r="R1497">
            <v>0</v>
          </cell>
          <cell r="S1497">
            <v>4</v>
          </cell>
          <cell r="T1497">
            <v>0</v>
          </cell>
          <cell r="U1497">
            <v>1230.9000000706874</v>
          </cell>
          <cell r="V1497">
            <v>0</v>
          </cell>
          <cell r="W1497">
            <v>0</v>
          </cell>
          <cell r="X1497">
            <v>0</v>
          </cell>
          <cell r="Y1497">
            <v>223.80000001285225</v>
          </cell>
          <cell r="Z1497">
            <v>0</v>
          </cell>
        </row>
        <row r="1498">
          <cell r="C1498" t="str">
            <v>EDİRNE</v>
          </cell>
          <cell r="D1498" t="str">
            <v>MERİÇ</v>
          </cell>
          <cell r="H1498" t="str">
            <v>Dağıtım-OG</v>
          </cell>
          <cell r="I1498" t="str">
            <v>Uzun</v>
          </cell>
          <cell r="J1498" t="str">
            <v>Şebeke işletmecisi</v>
          </cell>
          <cell r="K1498" t="str">
            <v>Bildirimsiz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4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223.79999997094274</v>
          </cell>
          <cell r="Z1498">
            <v>0</v>
          </cell>
        </row>
        <row r="1499">
          <cell r="C1499" t="str">
            <v>KIRKLARELİ</v>
          </cell>
          <cell r="D1499" t="str">
            <v>LÜLEBURGAZ</v>
          </cell>
          <cell r="H1499" t="str">
            <v>Dağıtım-OG</v>
          </cell>
          <cell r="I1499" t="str">
            <v>Uzun</v>
          </cell>
          <cell r="J1499" t="str">
            <v>Şebeke İşletmecisi</v>
          </cell>
          <cell r="K1499" t="str">
            <v>Bildirimsiz</v>
          </cell>
          <cell r="O1499">
            <v>1</v>
          </cell>
          <cell r="P1499">
            <v>0</v>
          </cell>
          <cell r="Q1499">
            <v>0</v>
          </cell>
          <cell r="R1499">
            <v>0</v>
          </cell>
          <cell r="S1499">
            <v>20</v>
          </cell>
          <cell r="T1499">
            <v>303</v>
          </cell>
          <cell r="U1499">
            <v>55.850000000791624</v>
          </cell>
          <cell r="V1499">
            <v>0</v>
          </cell>
          <cell r="W1499">
            <v>0</v>
          </cell>
          <cell r="X1499">
            <v>0</v>
          </cell>
          <cell r="Y1499">
            <v>1117.0000000158325</v>
          </cell>
          <cell r="Z1499">
            <v>16922.550000239862</v>
          </cell>
        </row>
        <row r="1500">
          <cell r="C1500" t="str">
            <v>EDİRNE</v>
          </cell>
          <cell r="D1500" t="str">
            <v>ENEZ</v>
          </cell>
          <cell r="H1500" t="str">
            <v>Dağıtım-OG</v>
          </cell>
          <cell r="I1500" t="str">
            <v>Uzun</v>
          </cell>
          <cell r="J1500" t="str">
            <v>Şebeke işletmecisi</v>
          </cell>
          <cell r="K1500" t="str">
            <v>Bildirimsiz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213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11896.050000168616</v>
          </cell>
        </row>
        <row r="1501">
          <cell r="C1501" t="str">
            <v>KIRKLARELİ</v>
          </cell>
          <cell r="D1501" t="str">
            <v>LÜLEBURGAZ</v>
          </cell>
          <cell r="H1501" t="str">
            <v>Dağıtım-AG</v>
          </cell>
          <cell r="I1501" t="str">
            <v>Uzun</v>
          </cell>
          <cell r="J1501" t="str">
            <v>Şebeke işletmecisi</v>
          </cell>
          <cell r="K1501" t="str">
            <v>Bildirimsiz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12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668.99999998044223</v>
          </cell>
        </row>
        <row r="1502">
          <cell r="C1502" t="str">
            <v>TEKİRDAĞ</v>
          </cell>
          <cell r="D1502" t="str">
            <v>KAPAKLI</v>
          </cell>
          <cell r="H1502" t="str">
            <v>Dağıtım-AG</v>
          </cell>
          <cell r="I1502" t="str">
            <v>Uzun</v>
          </cell>
          <cell r="J1502" t="str">
            <v>Şebeke işletmecisi</v>
          </cell>
          <cell r="K1502" t="str">
            <v>Bildirimsiz</v>
          </cell>
          <cell r="O1502">
            <v>0</v>
          </cell>
          <cell r="P1502">
            <v>206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11474.19999941485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</row>
        <row r="1503">
          <cell r="C1503" t="str">
            <v>KIRKLARELİ</v>
          </cell>
          <cell r="D1503" t="str">
            <v>BABAESKİ</v>
          </cell>
          <cell r="H1503" t="str">
            <v>Dağıtım-OG</v>
          </cell>
          <cell r="I1503" t="str">
            <v>Uzun</v>
          </cell>
          <cell r="J1503" t="str">
            <v>Şebeke işletmecisi</v>
          </cell>
          <cell r="K1503" t="str">
            <v>Bildirimsiz</v>
          </cell>
          <cell r="O1503">
            <v>0</v>
          </cell>
          <cell r="P1503">
            <v>2</v>
          </cell>
          <cell r="Q1503">
            <v>1</v>
          </cell>
          <cell r="R1503">
            <v>1076</v>
          </cell>
          <cell r="S1503">
            <v>0</v>
          </cell>
          <cell r="T1503">
            <v>0</v>
          </cell>
          <cell r="U1503">
            <v>0</v>
          </cell>
          <cell r="V1503">
            <v>111.23333333060145</v>
          </cell>
          <cell r="W1503">
            <v>55.616666665300727</v>
          </cell>
          <cell r="X1503">
            <v>59843.533331863582</v>
          </cell>
          <cell r="Y1503">
            <v>0</v>
          </cell>
          <cell r="Z1503">
            <v>0</v>
          </cell>
        </row>
        <row r="1504">
          <cell r="C1504" t="str">
            <v>KIRKLARELİ</v>
          </cell>
          <cell r="D1504" t="str">
            <v>BABAESKİ</v>
          </cell>
          <cell r="H1504" t="str">
            <v>Dağıtım-OG</v>
          </cell>
          <cell r="I1504" t="str">
            <v>Uzun</v>
          </cell>
          <cell r="J1504" t="str">
            <v>Şebeke işletmecisi</v>
          </cell>
          <cell r="K1504" t="str">
            <v>Bildirimsiz</v>
          </cell>
          <cell r="O1504">
            <v>3</v>
          </cell>
          <cell r="P1504">
            <v>1</v>
          </cell>
          <cell r="Q1504">
            <v>3</v>
          </cell>
          <cell r="R1504">
            <v>18</v>
          </cell>
          <cell r="S1504">
            <v>0</v>
          </cell>
          <cell r="T1504">
            <v>0</v>
          </cell>
          <cell r="U1504">
            <v>166.54999998863786</v>
          </cell>
          <cell r="V1504">
            <v>55.516666662879288</v>
          </cell>
          <cell r="W1504">
            <v>166.54999998863786</v>
          </cell>
          <cell r="X1504">
            <v>999.29999993182719</v>
          </cell>
          <cell r="Y1504">
            <v>0</v>
          </cell>
          <cell r="Z1504">
            <v>0</v>
          </cell>
        </row>
        <row r="1505">
          <cell r="C1505" t="str">
            <v>TEKİRDAĞ</v>
          </cell>
          <cell r="D1505" t="str">
            <v>ERGENE</v>
          </cell>
          <cell r="H1505" t="str">
            <v>Dağıtım-AG</v>
          </cell>
          <cell r="I1505" t="str">
            <v>Uzun</v>
          </cell>
          <cell r="J1505" t="str">
            <v>Şebeke işletmecisi</v>
          </cell>
          <cell r="K1505" t="str">
            <v>Bildirimsiz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17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941.80000000633299</v>
          </cell>
        </row>
        <row r="1506">
          <cell r="C1506" t="str">
            <v>TEKİRDAĞ</v>
          </cell>
          <cell r="D1506" t="str">
            <v>HAYRABOLU</v>
          </cell>
          <cell r="H1506" t="str">
            <v>Dağıtım-OG</v>
          </cell>
          <cell r="I1506" t="str">
            <v>Uzun</v>
          </cell>
          <cell r="J1506" t="str">
            <v>Şebeke işletmecisi</v>
          </cell>
          <cell r="K1506" t="str">
            <v>Bildirimsiz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1</v>
          </cell>
          <cell r="T1506">
            <v>609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55.38333332980983</v>
          </cell>
          <cell r="Z1506">
            <v>33728.449997854186</v>
          </cell>
        </row>
        <row r="1507">
          <cell r="C1507" t="str">
            <v>KIRKLARELİ</v>
          </cell>
          <cell r="D1507" t="str">
            <v>BABAESKİ</v>
          </cell>
          <cell r="H1507" t="str">
            <v>Dağıtım-OG</v>
          </cell>
          <cell r="I1507" t="str">
            <v>Uzun</v>
          </cell>
          <cell r="J1507" t="str">
            <v>Şebeke işletmecisi</v>
          </cell>
          <cell r="K1507" t="str">
            <v>Bildirimli</v>
          </cell>
          <cell r="O1507">
            <v>1</v>
          </cell>
          <cell r="P1507">
            <v>0</v>
          </cell>
          <cell r="Q1507">
            <v>0</v>
          </cell>
          <cell r="R1507">
            <v>3</v>
          </cell>
          <cell r="S1507">
            <v>4</v>
          </cell>
          <cell r="T1507">
            <v>1305</v>
          </cell>
          <cell r="U1507">
            <v>55.249999996740371</v>
          </cell>
          <cell r="V1507">
            <v>0</v>
          </cell>
          <cell r="W1507">
            <v>0</v>
          </cell>
          <cell r="X1507">
            <v>165.74999999022111</v>
          </cell>
          <cell r="Y1507">
            <v>220.99999998696148</v>
          </cell>
          <cell r="Z1507">
            <v>72101.249995746184</v>
          </cell>
        </row>
        <row r="1508">
          <cell r="C1508" t="str">
            <v>TEKİRDAĞ</v>
          </cell>
          <cell r="D1508" t="str">
            <v>SÜLEYMANPAŞA</v>
          </cell>
          <cell r="H1508" t="str">
            <v>Dağıtım-AG</v>
          </cell>
          <cell r="I1508" t="str">
            <v>Uzun</v>
          </cell>
          <cell r="J1508" t="str">
            <v>Şebeke işletmecisi</v>
          </cell>
          <cell r="K1508" t="str">
            <v>Bildirimsiz</v>
          </cell>
          <cell r="O1508">
            <v>0</v>
          </cell>
          <cell r="P1508">
            <v>20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1103.6666667088866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</row>
        <row r="1509">
          <cell r="C1509" t="str">
            <v>TEKİRDAĞ</v>
          </cell>
          <cell r="D1509" t="str">
            <v>SÜLEYMANPAŞA</v>
          </cell>
          <cell r="H1509" t="str">
            <v>Dağıtım-AG</v>
          </cell>
          <cell r="I1509" t="str">
            <v>Uzun</v>
          </cell>
          <cell r="J1509" t="str">
            <v>Şebeke işletmecisi</v>
          </cell>
          <cell r="K1509" t="str">
            <v>Bildirimsiz</v>
          </cell>
          <cell r="O1509">
            <v>0</v>
          </cell>
          <cell r="P1509">
            <v>77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4240.1333330094349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</row>
        <row r="1510">
          <cell r="C1510" t="str">
            <v>KIRKLARELİ</v>
          </cell>
          <cell r="D1510" t="str">
            <v>DEMİRKÖY</v>
          </cell>
          <cell r="H1510" t="str">
            <v>Dağıtım-OG</v>
          </cell>
          <cell r="I1510" t="str">
            <v>Uzun</v>
          </cell>
          <cell r="J1510" t="str">
            <v>Şebeke işletmecisi</v>
          </cell>
          <cell r="K1510" t="str">
            <v>Bildirimsiz</v>
          </cell>
          <cell r="O1510">
            <v>0</v>
          </cell>
          <cell r="P1510">
            <v>0</v>
          </cell>
          <cell r="Q1510">
            <v>0</v>
          </cell>
          <cell r="R1510">
            <v>4</v>
          </cell>
          <cell r="S1510">
            <v>0</v>
          </cell>
          <cell r="T1510">
            <v>21</v>
          </cell>
          <cell r="U1510">
            <v>0</v>
          </cell>
          <cell r="V1510">
            <v>0</v>
          </cell>
          <cell r="W1510">
            <v>0</v>
          </cell>
          <cell r="X1510">
            <v>220.20000000949949</v>
          </cell>
          <cell r="Y1510">
            <v>0</v>
          </cell>
          <cell r="Z1510">
            <v>1156.0500000498723</v>
          </cell>
        </row>
        <row r="1511">
          <cell r="C1511" t="str">
            <v>KIRKLARELİ</v>
          </cell>
          <cell r="D1511" t="str">
            <v>VİZE</v>
          </cell>
          <cell r="H1511" t="str">
            <v>Dağıtım-AG</v>
          </cell>
          <cell r="I1511" t="str">
            <v>Uzun</v>
          </cell>
          <cell r="J1511" t="str">
            <v>Şebeke işletmecisi</v>
          </cell>
          <cell r="K1511" t="str">
            <v>Bildirimsiz</v>
          </cell>
          <cell r="O1511">
            <v>0</v>
          </cell>
          <cell r="P1511">
            <v>0</v>
          </cell>
          <cell r="Q1511">
            <v>0</v>
          </cell>
          <cell r="R1511">
            <v>13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715.65000003087334</v>
          </cell>
          <cell r="Y1511">
            <v>0</v>
          </cell>
          <cell r="Z1511">
            <v>0</v>
          </cell>
        </row>
        <row r="1512">
          <cell r="C1512" t="str">
            <v>EDİRNE</v>
          </cell>
          <cell r="D1512" t="str">
            <v>LALAPAŞA</v>
          </cell>
          <cell r="H1512" t="str">
            <v>Dağıtım-OG</v>
          </cell>
          <cell r="I1512" t="str">
            <v>Uzun</v>
          </cell>
          <cell r="J1512" t="str">
            <v>Şebeke işletmecisi</v>
          </cell>
          <cell r="K1512" t="str">
            <v>Bildirimsiz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1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55.000000001164153</v>
          </cell>
          <cell r="Z1512">
            <v>0</v>
          </cell>
        </row>
        <row r="1513">
          <cell r="C1513" t="str">
            <v>TEKİRDAĞ</v>
          </cell>
          <cell r="D1513" t="str">
            <v>HAYRABOLU</v>
          </cell>
          <cell r="H1513" t="str">
            <v>Dağıtım-AG</v>
          </cell>
          <cell r="I1513" t="str">
            <v>Uzun</v>
          </cell>
          <cell r="J1513" t="str">
            <v>Şebeke işletmecisi</v>
          </cell>
          <cell r="K1513" t="str">
            <v>Bildirimsiz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30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1647.999999881722</v>
          </cell>
        </row>
        <row r="1514">
          <cell r="C1514" t="str">
            <v>EDİRNE</v>
          </cell>
          <cell r="D1514" t="str">
            <v>UZUNKÖPRÜ</v>
          </cell>
          <cell r="H1514" t="str">
            <v>Dağıtım-OG</v>
          </cell>
          <cell r="I1514" t="str">
            <v>Uzun</v>
          </cell>
          <cell r="J1514" t="str">
            <v>Şebeke işletmecisi</v>
          </cell>
          <cell r="K1514" t="str">
            <v>Bildirimsiz</v>
          </cell>
          <cell r="O1514">
            <v>2</v>
          </cell>
          <cell r="P1514">
            <v>0</v>
          </cell>
          <cell r="Q1514">
            <v>0</v>
          </cell>
          <cell r="R1514">
            <v>0</v>
          </cell>
          <cell r="S1514">
            <v>4</v>
          </cell>
          <cell r="T1514">
            <v>0</v>
          </cell>
          <cell r="U1514">
            <v>109.86666665878147</v>
          </cell>
          <cell r="V1514">
            <v>0</v>
          </cell>
          <cell r="W1514">
            <v>0</v>
          </cell>
          <cell r="X1514">
            <v>0</v>
          </cell>
          <cell r="Y1514">
            <v>219.73333331756294</v>
          </cell>
          <cell r="Z1514">
            <v>0</v>
          </cell>
        </row>
        <row r="1515">
          <cell r="C1515" t="str">
            <v>KIRKLARELİ</v>
          </cell>
          <cell r="D1515" t="str">
            <v>LÜLEBURGAZ</v>
          </cell>
          <cell r="H1515" t="str">
            <v>Dağıtım-AG</v>
          </cell>
          <cell r="I1515" t="str">
            <v>Uzun</v>
          </cell>
          <cell r="J1515" t="str">
            <v>Şebeke işletmecisi</v>
          </cell>
          <cell r="K1515" t="str">
            <v>Bildirimsiz</v>
          </cell>
          <cell r="O1515">
            <v>0</v>
          </cell>
          <cell r="P1515">
            <v>0</v>
          </cell>
          <cell r="Q1515">
            <v>0</v>
          </cell>
          <cell r="R1515">
            <v>8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438.93333334475756</v>
          </cell>
          <cell r="Y1515">
            <v>0</v>
          </cell>
          <cell r="Z1515">
            <v>0</v>
          </cell>
        </row>
        <row r="1516">
          <cell r="C1516" t="str">
            <v>EDİRNE</v>
          </cell>
          <cell r="D1516" t="str">
            <v>EDİRNEMERKEZ</v>
          </cell>
          <cell r="H1516" t="str">
            <v>Dağıtım-OG</v>
          </cell>
          <cell r="I1516" t="str">
            <v>Uzun</v>
          </cell>
          <cell r="J1516" t="str">
            <v>Şebeke işletmecisi</v>
          </cell>
          <cell r="K1516" t="str">
            <v>Bildirimsiz</v>
          </cell>
          <cell r="O1516">
            <v>0</v>
          </cell>
          <cell r="P1516">
            <v>37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2027.6000002515502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</row>
        <row r="1517">
          <cell r="C1517" t="str">
            <v>EDİRNE</v>
          </cell>
          <cell r="D1517" t="str">
            <v>EDİRNEMERKEZ</v>
          </cell>
          <cell r="H1517" t="str">
            <v>Dağıtım-OG</v>
          </cell>
          <cell r="I1517" t="str">
            <v>Uzun</v>
          </cell>
          <cell r="J1517" t="str">
            <v>Şebeke İşletmecisi</v>
          </cell>
          <cell r="K1517" t="str">
            <v>Bildirimsiz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2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109.59999999264255</v>
          </cell>
          <cell r="Z1517">
            <v>0</v>
          </cell>
        </row>
        <row r="1518">
          <cell r="C1518" t="str">
            <v>TEKİRDAĞ</v>
          </cell>
          <cell r="D1518" t="str">
            <v>MARMARAEREĞLİSİ</v>
          </cell>
          <cell r="H1518" t="str">
            <v>Dağıtım-AG</v>
          </cell>
          <cell r="I1518" t="str">
            <v>Uzun</v>
          </cell>
          <cell r="J1518" t="str">
            <v>Şebeke işletmecisi</v>
          </cell>
          <cell r="K1518" t="str">
            <v>Bildirimsiz</v>
          </cell>
          <cell r="O1518">
            <v>0</v>
          </cell>
          <cell r="P1518">
            <v>0</v>
          </cell>
          <cell r="Q1518">
            <v>0</v>
          </cell>
          <cell r="R1518">
            <v>20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1095.6666667247191</v>
          </cell>
          <cell r="Y1518">
            <v>0</v>
          </cell>
          <cell r="Z1518">
            <v>0</v>
          </cell>
        </row>
        <row r="1519">
          <cell r="C1519" t="str">
            <v>KIRKLARELİ</v>
          </cell>
          <cell r="D1519" t="str">
            <v>KIRKLARELİMERKEZ</v>
          </cell>
          <cell r="H1519" t="str">
            <v>Dağıtım-AG</v>
          </cell>
          <cell r="I1519" t="str">
            <v>Uzun</v>
          </cell>
          <cell r="J1519" t="str">
            <v>Şebeke işletmecisi</v>
          </cell>
          <cell r="K1519" t="str">
            <v>Bildirimsiz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1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54.766666665673256</v>
          </cell>
        </row>
        <row r="1520">
          <cell r="C1520" t="str">
            <v>EDİRNE</v>
          </cell>
          <cell r="D1520" t="str">
            <v>EDİRNEMERKEZ</v>
          </cell>
          <cell r="H1520" t="str">
            <v>Dağıtım-OG</v>
          </cell>
          <cell r="I1520" t="str">
            <v>Uzun</v>
          </cell>
          <cell r="J1520" t="str">
            <v>Şebeke işletmecisi</v>
          </cell>
          <cell r="K1520" t="str">
            <v>Bildirimsiz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3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163.59999999054708</v>
          </cell>
          <cell r="Z1520">
            <v>0</v>
          </cell>
        </row>
        <row r="1521">
          <cell r="C1521" t="str">
            <v>TEKİRDAĞ</v>
          </cell>
          <cell r="D1521" t="str">
            <v>ŞARKÖY</v>
          </cell>
          <cell r="H1521" t="str">
            <v>Dağıtım-AG</v>
          </cell>
          <cell r="I1521" t="str">
            <v>Uzun</v>
          </cell>
          <cell r="J1521" t="str">
            <v>Şebeke işletmecisi</v>
          </cell>
          <cell r="K1521" t="str">
            <v>Bildirimsiz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1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54.499999999534339</v>
          </cell>
        </row>
        <row r="1522">
          <cell r="C1522" t="str">
            <v>TEKİRDAĞ</v>
          </cell>
          <cell r="D1522" t="str">
            <v>MALKARA</v>
          </cell>
          <cell r="H1522" t="str">
            <v>Dağıtım-AG</v>
          </cell>
          <cell r="I1522" t="str">
            <v>Uzun</v>
          </cell>
          <cell r="J1522" t="str">
            <v>Şebeke işletmecisi</v>
          </cell>
          <cell r="K1522" t="str">
            <v>Bildirimsiz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5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272.16666669119149</v>
          </cell>
        </row>
        <row r="1523">
          <cell r="C1523" t="str">
            <v>EDİRNE</v>
          </cell>
          <cell r="D1523" t="str">
            <v>UZUNKÖPRÜ</v>
          </cell>
          <cell r="H1523" t="str">
            <v>Dağıtım-AG</v>
          </cell>
          <cell r="I1523" t="str">
            <v>Uzun</v>
          </cell>
          <cell r="J1523" t="str">
            <v>Şebeke işletmecisi</v>
          </cell>
          <cell r="K1523" t="str">
            <v>Bildirimsiz</v>
          </cell>
          <cell r="O1523">
            <v>0</v>
          </cell>
          <cell r="P1523">
            <v>0</v>
          </cell>
          <cell r="Q1523">
            <v>0</v>
          </cell>
          <cell r="R1523">
            <v>3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163.3000000147149</v>
          </cell>
          <cell r="Y1523">
            <v>0</v>
          </cell>
          <cell r="Z1523">
            <v>0</v>
          </cell>
        </row>
        <row r="1524">
          <cell r="C1524" t="str">
            <v>EDİRNE</v>
          </cell>
          <cell r="D1524" t="str">
            <v>UZUNKÖPRÜ</v>
          </cell>
          <cell r="H1524" t="str">
            <v>Dağıtım-AG</v>
          </cell>
          <cell r="I1524" t="str">
            <v>Uzun</v>
          </cell>
          <cell r="J1524" t="str">
            <v>Şebeke işletmecisi</v>
          </cell>
          <cell r="K1524" t="str">
            <v>Bildirimsiz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66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3586.0000001639128</v>
          </cell>
        </row>
        <row r="1525">
          <cell r="C1525" t="str">
            <v>TEKİRDAĞ</v>
          </cell>
          <cell r="D1525" t="str">
            <v>HAYRABOLU</v>
          </cell>
          <cell r="H1525" t="str">
            <v>Dağıtım-OG</v>
          </cell>
          <cell r="I1525" t="str">
            <v>Uzun</v>
          </cell>
          <cell r="J1525" t="str">
            <v>Şebeke işletmecisi</v>
          </cell>
          <cell r="K1525" t="str">
            <v>Bildirimsiz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24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1303.2000001240522</v>
          </cell>
        </row>
        <row r="1526">
          <cell r="C1526" t="str">
            <v>KIRKLARELİ</v>
          </cell>
          <cell r="D1526" t="str">
            <v>LÜLEBURGAZ</v>
          </cell>
          <cell r="H1526" t="str">
            <v>Dağıtım-AG</v>
          </cell>
          <cell r="I1526" t="str">
            <v>Uzun</v>
          </cell>
          <cell r="J1526" t="str">
            <v>Şebeke işletmecisi</v>
          </cell>
          <cell r="K1526" t="str">
            <v>Bildirimsiz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47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2545.8333335886709</v>
          </cell>
        </row>
        <row r="1527">
          <cell r="C1527" t="str">
            <v>TEKİRDAĞ</v>
          </cell>
          <cell r="D1527" t="str">
            <v>MARMARAEREĞLİSİ</v>
          </cell>
          <cell r="H1527" t="str">
            <v>Dağıtım-AG</v>
          </cell>
          <cell r="I1527" t="str">
            <v>Uzun</v>
          </cell>
          <cell r="J1527" t="str">
            <v>Şebeke işletmecisi</v>
          </cell>
          <cell r="K1527" t="str">
            <v>Bildirimsiz</v>
          </cell>
          <cell r="O1527">
            <v>0</v>
          </cell>
          <cell r="P1527">
            <v>0</v>
          </cell>
          <cell r="Q1527">
            <v>0</v>
          </cell>
          <cell r="R1527">
            <v>21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1136.449999868637</v>
          </cell>
          <cell r="Y1527">
            <v>0</v>
          </cell>
          <cell r="Z1527">
            <v>0</v>
          </cell>
        </row>
        <row r="1528">
          <cell r="C1528" t="str">
            <v>EDİRNE</v>
          </cell>
          <cell r="D1528" t="str">
            <v>EDİRNEMERKEZ</v>
          </cell>
          <cell r="H1528" t="str">
            <v>Dağıtım-AG</v>
          </cell>
          <cell r="I1528" t="str">
            <v>Uzun</v>
          </cell>
          <cell r="J1528" t="str">
            <v>Şebeke işletmecisi</v>
          </cell>
          <cell r="K1528" t="str">
            <v>Bildirimsiz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1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53.999999997904524</v>
          </cell>
        </row>
        <row r="1529">
          <cell r="C1529" t="str">
            <v>TEKİRDAĞ</v>
          </cell>
          <cell r="D1529" t="str">
            <v>MURATLI</v>
          </cell>
          <cell r="H1529" t="str">
            <v>Dağıtım-OG</v>
          </cell>
          <cell r="I1529" t="str">
            <v>Uzun</v>
          </cell>
          <cell r="J1529" t="str">
            <v>Şebeke işletmecisi</v>
          </cell>
          <cell r="K1529" t="str">
            <v>Bildirimsiz</v>
          </cell>
          <cell r="O1529">
            <v>0</v>
          </cell>
          <cell r="P1529">
            <v>3</v>
          </cell>
          <cell r="Q1529">
            <v>0</v>
          </cell>
          <cell r="R1529">
            <v>0</v>
          </cell>
          <cell r="S1529">
            <v>0</v>
          </cell>
          <cell r="T1529">
            <v>198</v>
          </cell>
          <cell r="U1529">
            <v>0</v>
          </cell>
          <cell r="V1529">
            <v>161.90000000176951</v>
          </cell>
          <cell r="W1529">
            <v>0</v>
          </cell>
          <cell r="X1529">
            <v>0</v>
          </cell>
          <cell r="Y1529">
            <v>0</v>
          </cell>
          <cell r="Z1529">
            <v>10685.400000116788</v>
          </cell>
        </row>
        <row r="1530">
          <cell r="C1530" t="str">
            <v>TEKİRDAĞ</v>
          </cell>
          <cell r="D1530" t="str">
            <v>ERGENE</v>
          </cell>
          <cell r="H1530" t="str">
            <v>Dağıtım-AG</v>
          </cell>
          <cell r="I1530" t="str">
            <v>Uzun</v>
          </cell>
          <cell r="J1530" t="str">
            <v>Şebeke işletmecisi</v>
          </cell>
          <cell r="K1530" t="str">
            <v>Bildirimsiz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7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377.76666667079553</v>
          </cell>
        </row>
        <row r="1531">
          <cell r="C1531" t="str">
            <v>TEKİRDAĞ</v>
          </cell>
          <cell r="D1531" t="str">
            <v>SÜLEYMANPAŞA</v>
          </cell>
          <cell r="H1531" t="str">
            <v>Dağıtım-AG</v>
          </cell>
          <cell r="I1531" t="str">
            <v>Uzun</v>
          </cell>
          <cell r="J1531" t="str">
            <v>Şebeke işletmecisi</v>
          </cell>
          <cell r="K1531" t="str">
            <v>Bildirimsiz</v>
          </cell>
          <cell r="O1531">
            <v>0</v>
          </cell>
          <cell r="P1531">
            <v>15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807.74999991408549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</row>
        <row r="1532">
          <cell r="C1532" t="str">
            <v>KIRKLARELİ</v>
          </cell>
          <cell r="D1532" t="str">
            <v>VİZE</v>
          </cell>
          <cell r="H1532" t="str">
            <v>Dağıtım-OG</v>
          </cell>
          <cell r="I1532" t="str">
            <v>Uzun</v>
          </cell>
          <cell r="J1532" t="str">
            <v>Şebeke işletmecisi</v>
          </cell>
          <cell r="K1532" t="str">
            <v>Bildirimsiz</v>
          </cell>
          <cell r="O1532">
            <v>0</v>
          </cell>
          <cell r="P1532">
            <v>11</v>
          </cell>
          <cell r="Q1532">
            <v>0</v>
          </cell>
          <cell r="R1532">
            <v>0</v>
          </cell>
          <cell r="S1532">
            <v>4</v>
          </cell>
          <cell r="T1532">
            <v>446</v>
          </cell>
          <cell r="U1532">
            <v>0</v>
          </cell>
          <cell r="V1532">
            <v>592.1666666760575</v>
          </cell>
          <cell r="W1532">
            <v>0</v>
          </cell>
          <cell r="X1532">
            <v>0</v>
          </cell>
          <cell r="Y1532">
            <v>215.33333333674818</v>
          </cell>
          <cell r="Z1532">
            <v>24009.666667047422</v>
          </cell>
        </row>
        <row r="1533">
          <cell r="C1533" t="str">
            <v>TEKİRDAĞ</v>
          </cell>
          <cell r="D1533" t="str">
            <v>MARMARAEREĞLİSİ</v>
          </cell>
          <cell r="H1533" t="str">
            <v>Dağıtım-AG</v>
          </cell>
          <cell r="I1533" t="str">
            <v>Uzun</v>
          </cell>
          <cell r="J1533" t="str">
            <v>Şebeke işletmecisi</v>
          </cell>
          <cell r="K1533" t="str">
            <v>Bildirimsiz</v>
          </cell>
          <cell r="O1533">
            <v>0</v>
          </cell>
          <cell r="P1533">
            <v>0</v>
          </cell>
          <cell r="Q1533">
            <v>0</v>
          </cell>
          <cell r="R1533">
            <v>21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1129.7999998542946</v>
          </cell>
          <cell r="Y1533">
            <v>0</v>
          </cell>
          <cell r="Z1533">
            <v>0</v>
          </cell>
        </row>
        <row r="1534">
          <cell r="C1534" t="str">
            <v>TEKİRDAĞ</v>
          </cell>
          <cell r="D1534" t="str">
            <v>ÇERKEZKÖY</v>
          </cell>
          <cell r="H1534" t="str">
            <v>Dağıtım-OG</v>
          </cell>
          <cell r="I1534" t="str">
            <v>Uzun</v>
          </cell>
          <cell r="J1534" t="str">
            <v>Şebeke işletmecisi</v>
          </cell>
          <cell r="K1534" t="str">
            <v>Bildirimsiz</v>
          </cell>
          <cell r="O1534">
            <v>0</v>
          </cell>
          <cell r="P1534">
            <v>2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107.53333332482725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</row>
        <row r="1535">
          <cell r="C1535" t="str">
            <v>KIRKLARELİ</v>
          </cell>
          <cell r="D1535" t="str">
            <v>LÜLEBURGAZ</v>
          </cell>
          <cell r="H1535" t="str">
            <v>Dağıtım-AG</v>
          </cell>
          <cell r="I1535" t="str">
            <v>Uzun</v>
          </cell>
          <cell r="J1535" t="str">
            <v>Şebeke işletmecisi</v>
          </cell>
          <cell r="K1535" t="str">
            <v>Bildirimsiz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34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1828.0666665220633</v>
          </cell>
        </row>
        <row r="1536">
          <cell r="C1536" t="str">
            <v>TEKİRDAĞ</v>
          </cell>
          <cell r="D1536" t="str">
            <v>ÇORLU</v>
          </cell>
          <cell r="H1536" t="str">
            <v>Dağıtım-OG</v>
          </cell>
          <cell r="I1536" t="str">
            <v>Uzun</v>
          </cell>
          <cell r="J1536" t="str">
            <v>Şebeke işletmecisi</v>
          </cell>
          <cell r="K1536" t="str">
            <v>Bildirimsiz</v>
          </cell>
          <cell r="O1536">
            <v>1</v>
          </cell>
          <cell r="P1536">
            <v>1785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53.716666671680287</v>
          </cell>
          <cell r="V1536">
            <v>95884.250008949311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</row>
        <row r="1537">
          <cell r="C1537" t="str">
            <v>KIRKLARELİ</v>
          </cell>
          <cell r="D1537" t="str">
            <v>DEMİRKÖY</v>
          </cell>
          <cell r="H1537" t="str">
            <v>Dağıtım-AG</v>
          </cell>
          <cell r="I1537" t="str">
            <v>Uzun</v>
          </cell>
          <cell r="J1537" t="str">
            <v>Şebeke işletmecisi</v>
          </cell>
          <cell r="K1537" t="str">
            <v>Bildirimsiz</v>
          </cell>
          <cell r="O1537">
            <v>0</v>
          </cell>
          <cell r="P1537">
            <v>0</v>
          </cell>
          <cell r="Q1537">
            <v>0</v>
          </cell>
          <cell r="R1537">
            <v>15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805.24999995832331</v>
          </cell>
          <cell r="Y1537">
            <v>0</v>
          </cell>
          <cell r="Z1537">
            <v>0</v>
          </cell>
        </row>
        <row r="1538">
          <cell r="C1538" t="str">
            <v>EDİRNE</v>
          </cell>
          <cell r="D1538" t="str">
            <v>LALAPAŞA</v>
          </cell>
          <cell r="H1538" t="str">
            <v>Dağıtım-OG</v>
          </cell>
          <cell r="I1538" t="str">
            <v>Uzun</v>
          </cell>
          <cell r="J1538" t="str">
            <v>Şebeke işletmecisi</v>
          </cell>
          <cell r="K1538" t="str">
            <v>Bildirimsiz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6</v>
          </cell>
          <cell r="T1538">
            <v>416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322.0000000228174</v>
          </cell>
          <cell r="Z1538">
            <v>22325.33333491534</v>
          </cell>
        </row>
        <row r="1539">
          <cell r="C1539" t="str">
            <v>TEKİRDAĞ</v>
          </cell>
          <cell r="D1539" t="str">
            <v>ÇERKEZKÖY</v>
          </cell>
          <cell r="H1539" t="str">
            <v>Dağıtım-OG</v>
          </cell>
          <cell r="I1539" t="str">
            <v>Uzun</v>
          </cell>
          <cell r="J1539" t="str">
            <v>Şebeke işletmecisi</v>
          </cell>
          <cell r="K1539" t="str">
            <v>Bildirimsiz</v>
          </cell>
          <cell r="O1539">
            <v>27</v>
          </cell>
          <cell r="P1539">
            <v>1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1447.6500000699889</v>
          </cell>
          <cell r="V1539">
            <v>53.616666669258848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</row>
        <row r="1540">
          <cell r="C1540" t="str">
            <v>TEKİRDAĞ</v>
          </cell>
          <cell r="D1540" t="str">
            <v>MARMARAEREĞLİSİ</v>
          </cell>
          <cell r="H1540" t="str">
            <v>Dağıtım-AG</v>
          </cell>
          <cell r="I1540" t="str">
            <v>Uzun</v>
          </cell>
          <cell r="J1540" t="str">
            <v>Şebeke işletmecisi</v>
          </cell>
          <cell r="K1540" t="str">
            <v>Bildirimsiz</v>
          </cell>
          <cell r="O1540">
            <v>0</v>
          </cell>
          <cell r="P1540">
            <v>22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1174.0666668210179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</row>
        <row r="1541">
          <cell r="C1541" t="str">
            <v>TEKİRDAĞ</v>
          </cell>
          <cell r="D1541" t="str">
            <v>MALKARA</v>
          </cell>
          <cell r="H1541" t="str">
            <v>Dağıtım-OG</v>
          </cell>
          <cell r="I1541" t="str">
            <v>Uzun</v>
          </cell>
          <cell r="J1541" t="str">
            <v>Şebeke işletmecisi</v>
          </cell>
          <cell r="K1541" t="str">
            <v>Bildirimsiz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127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6766.983333081007</v>
          </cell>
        </row>
        <row r="1542">
          <cell r="C1542" t="str">
            <v>TEKİRDAĞ</v>
          </cell>
          <cell r="D1542" t="str">
            <v>ÇERKEZKÖY</v>
          </cell>
          <cell r="H1542" t="str">
            <v>Dağıtım-AG</v>
          </cell>
          <cell r="I1542" t="str">
            <v>Uzun</v>
          </cell>
          <cell r="J1542" t="str">
            <v>Şebeke işletmecisi</v>
          </cell>
          <cell r="K1542" t="str">
            <v>Bildirimsiz</v>
          </cell>
          <cell r="O1542">
            <v>0</v>
          </cell>
          <cell r="P1542">
            <v>5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266.33333335630596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</row>
        <row r="1543">
          <cell r="C1543" t="str">
            <v>EDİRNE</v>
          </cell>
          <cell r="D1543" t="str">
            <v>UZUNKÖPRÜ</v>
          </cell>
          <cell r="H1543" t="str">
            <v>Dağıtım-AG</v>
          </cell>
          <cell r="I1543" t="str">
            <v>Uzun</v>
          </cell>
          <cell r="J1543" t="str">
            <v>Şebeke işletmecisi</v>
          </cell>
          <cell r="K1543" t="str">
            <v>Bildirimsiz</v>
          </cell>
          <cell r="O1543">
            <v>0</v>
          </cell>
          <cell r="P1543">
            <v>87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4631.2999997218139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</row>
        <row r="1544">
          <cell r="C1544" t="str">
            <v>TEKİRDAĞ</v>
          </cell>
          <cell r="D1544" t="str">
            <v>HAYRABOLU</v>
          </cell>
          <cell r="H1544" t="str">
            <v>Dağıtım-OG</v>
          </cell>
          <cell r="I1544" t="str">
            <v>Uzun</v>
          </cell>
          <cell r="J1544" t="str">
            <v>Şebeke işletmecisi</v>
          </cell>
          <cell r="K1544" t="str">
            <v>Bildirimsiz</v>
          </cell>
          <cell r="O1544">
            <v>0</v>
          </cell>
          <cell r="P1544">
            <v>0</v>
          </cell>
          <cell r="Q1544">
            <v>2</v>
          </cell>
          <cell r="R1544">
            <v>6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106.16666667396203</v>
          </cell>
          <cell r="X1544">
            <v>318.50000002188608</v>
          </cell>
          <cell r="Y1544">
            <v>0</v>
          </cell>
          <cell r="Z1544">
            <v>0</v>
          </cell>
        </row>
        <row r="1545">
          <cell r="C1545" t="str">
            <v>EDİRNE</v>
          </cell>
          <cell r="D1545" t="str">
            <v>HAVSA</v>
          </cell>
          <cell r="H1545" t="str">
            <v>Dağıtım-OG</v>
          </cell>
          <cell r="I1545" t="str">
            <v>Uzun</v>
          </cell>
          <cell r="J1545" t="str">
            <v>Şebeke işletmecisi</v>
          </cell>
          <cell r="K1545" t="str">
            <v>Bildirimsiz</v>
          </cell>
          <cell r="O1545">
            <v>0</v>
          </cell>
          <cell r="P1545">
            <v>1</v>
          </cell>
          <cell r="Q1545">
            <v>1</v>
          </cell>
          <cell r="R1545">
            <v>685</v>
          </cell>
          <cell r="S1545">
            <v>0</v>
          </cell>
          <cell r="T1545">
            <v>1</v>
          </cell>
          <cell r="U1545">
            <v>0</v>
          </cell>
          <cell r="V1545">
            <v>53.000000005122274</v>
          </cell>
          <cell r="W1545">
            <v>53.000000005122274</v>
          </cell>
          <cell r="X1545">
            <v>36305.000003508758</v>
          </cell>
          <cell r="Y1545">
            <v>0</v>
          </cell>
          <cell r="Z1545">
            <v>53.000000005122274</v>
          </cell>
        </row>
        <row r="1546">
          <cell r="C1546" t="str">
            <v>TEKİRDAĞ</v>
          </cell>
          <cell r="D1546" t="str">
            <v>SÜLEYMANPAŞA</v>
          </cell>
          <cell r="H1546" t="str">
            <v>Dağıtım-OG</v>
          </cell>
          <cell r="I1546" t="str">
            <v>Uzun</v>
          </cell>
          <cell r="J1546" t="str">
            <v>Şebeke işletmecisi</v>
          </cell>
          <cell r="K1546" t="str">
            <v>Bildirimsiz</v>
          </cell>
          <cell r="O1546">
            <v>3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159.00000001536682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</row>
        <row r="1547">
          <cell r="C1547" t="str">
            <v>TEKİRDAĞ</v>
          </cell>
          <cell r="D1547" t="str">
            <v>SARAY</v>
          </cell>
          <cell r="H1547" t="str">
            <v>Dağıtım-AG</v>
          </cell>
          <cell r="I1547" t="str">
            <v>Uzun</v>
          </cell>
          <cell r="J1547" t="str">
            <v>Şebeke işletmecisi</v>
          </cell>
          <cell r="K1547" t="str">
            <v>Bildirimsiz</v>
          </cell>
          <cell r="O1547">
            <v>0</v>
          </cell>
          <cell r="P1547">
            <v>0</v>
          </cell>
          <cell r="Q1547">
            <v>0</v>
          </cell>
          <cell r="R1547">
            <v>5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264.99999997322448</v>
          </cell>
          <cell r="Y1547">
            <v>0</v>
          </cell>
          <cell r="Z1547">
            <v>0</v>
          </cell>
        </row>
        <row r="1548">
          <cell r="C1548" t="str">
            <v>KIRKLARELİ</v>
          </cell>
          <cell r="D1548" t="str">
            <v>KIRKLARELİMERKEZ</v>
          </cell>
          <cell r="H1548" t="str">
            <v>Dağıtım-AG</v>
          </cell>
          <cell r="I1548" t="str">
            <v>Uzun</v>
          </cell>
          <cell r="J1548" t="str">
            <v>Şebeke işletmecisi</v>
          </cell>
          <cell r="K1548" t="str">
            <v>Bildirimsiz</v>
          </cell>
          <cell r="O1548">
            <v>0</v>
          </cell>
          <cell r="P1548">
            <v>185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9798.8333328394219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</row>
        <row r="1549">
          <cell r="C1549" t="str">
            <v>TEKİRDAĞ</v>
          </cell>
          <cell r="D1549" t="str">
            <v>HAYRABOLU</v>
          </cell>
          <cell r="H1549" t="str">
            <v>Dağıtım-OG</v>
          </cell>
          <cell r="I1549" t="str">
            <v>Uzun</v>
          </cell>
          <cell r="J1549" t="str">
            <v>Şebeke işletmecisi</v>
          </cell>
          <cell r="K1549" t="str">
            <v>Bildirimli</v>
          </cell>
          <cell r="O1549">
            <v>0</v>
          </cell>
          <cell r="P1549">
            <v>0</v>
          </cell>
          <cell r="Q1549">
            <v>1</v>
          </cell>
          <cell r="R1549">
            <v>1075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52.933333333348855</v>
          </cell>
          <cell r="X1549">
            <v>56903.33333335002</v>
          </cell>
          <cell r="Y1549">
            <v>0</v>
          </cell>
          <cell r="Z1549">
            <v>0</v>
          </cell>
        </row>
        <row r="1550">
          <cell r="C1550" t="str">
            <v>EDİRNE</v>
          </cell>
          <cell r="D1550" t="str">
            <v>UZUNKÖPRÜ</v>
          </cell>
          <cell r="H1550" t="str">
            <v>Dağıtım-AG</v>
          </cell>
          <cell r="I1550" t="str">
            <v>Uzun</v>
          </cell>
          <cell r="J1550" t="str">
            <v>Şebeke işletmecisi</v>
          </cell>
          <cell r="K1550" t="str">
            <v>Bildirimsiz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80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4228.0000001192093</v>
          </cell>
        </row>
        <row r="1551">
          <cell r="C1551" t="str">
            <v>TEKİRDAĞ</v>
          </cell>
          <cell r="D1551" t="str">
            <v>ERGENE</v>
          </cell>
          <cell r="H1551" t="str">
            <v>Dağıtım-AG</v>
          </cell>
          <cell r="I1551" t="str">
            <v>Uzun</v>
          </cell>
          <cell r="J1551" t="str">
            <v>Şebeke işletmecisi</v>
          </cell>
          <cell r="K1551" t="str">
            <v>Bildirimsiz</v>
          </cell>
          <cell r="O1551">
            <v>0</v>
          </cell>
          <cell r="P1551">
            <v>43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2263.9499998558313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</row>
        <row r="1552">
          <cell r="C1552" t="str">
            <v>EDİRNE</v>
          </cell>
          <cell r="D1552" t="str">
            <v>HAVSA</v>
          </cell>
          <cell r="H1552" t="str">
            <v>Dağıtım-AG</v>
          </cell>
          <cell r="I1552" t="str">
            <v>Uzun</v>
          </cell>
          <cell r="J1552" t="str">
            <v>Şebeke işletmecisi</v>
          </cell>
          <cell r="K1552" t="str">
            <v>Bildirimsiz</v>
          </cell>
          <cell r="O1552">
            <v>0</v>
          </cell>
          <cell r="P1552">
            <v>0</v>
          </cell>
          <cell r="Q1552">
            <v>0</v>
          </cell>
          <cell r="R1552">
            <v>4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210.53333334624767</v>
          </cell>
          <cell r="Y1552">
            <v>0</v>
          </cell>
          <cell r="Z1552">
            <v>0</v>
          </cell>
        </row>
        <row r="1553">
          <cell r="C1553" t="str">
            <v>TEKİRDAĞ</v>
          </cell>
          <cell r="D1553" t="str">
            <v>ÇORLU</v>
          </cell>
          <cell r="H1553" t="str">
            <v>Dağıtım-AG</v>
          </cell>
          <cell r="I1553" t="str">
            <v>Uzun</v>
          </cell>
          <cell r="J1553" t="str">
            <v>Şebeke işletmecisi</v>
          </cell>
          <cell r="K1553" t="str">
            <v>Bildirimsiz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1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52.58333332487382</v>
          </cell>
        </row>
        <row r="1554">
          <cell r="C1554" t="str">
            <v>KIRKLARELİ</v>
          </cell>
          <cell r="D1554" t="str">
            <v>KIRKLARELİMERKEZ</v>
          </cell>
          <cell r="H1554" t="str">
            <v>Dağıtım-OG</v>
          </cell>
          <cell r="I1554" t="str">
            <v>Uzun</v>
          </cell>
          <cell r="J1554" t="str">
            <v>Şebeke işletmecisi</v>
          </cell>
          <cell r="K1554" t="str">
            <v>Bildirimsiz</v>
          </cell>
          <cell r="O1554">
            <v>2</v>
          </cell>
          <cell r="P1554">
            <v>1</v>
          </cell>
          <cell r="Q1554">
            <v>0</v>
          </cell>
          <cell r="R1554">
            <v>0</v>
          </cell>
          <cell r="S1554">
            <v>10</v>
          </cell>
          <cell r="T1554">
            <v>0</v>
          </cell>
          <cell r="U1554">
            <v>105.133333329577</v>
          </cell>
          <cell r="V1554">
            <v>52.566666664788499</v>
          </cell>
          <cell r="W1554">
            <v>0</v>
          </cell>
          <cell r="X1554">
            <v>0</v>
          </cell>
          <cell r="Y1554">
            <v>525.66666664788499</v>
          </cell>
          <cell r="Z1554">
            <v>0</v>
          </cell>
        </row>
        <row r="1555">
          <cell r="C1555" t="str">
            <v>EDİRNE</v>
          </cell>
          <cell r="D1555" t="str">
            <v>UZUNKÖPRÜ</v>
          </cell>
          <cell r="H1555" t="str">
            <v>Dağıtım-OG</v>
          </cell>
          <cell r="I1555" t="str">
            <v>Uzun</v>
          </cell>
          <cell r="J1555" t="str">
            <v>Şebeke İşletmecisi</v>
          </cell>
          <cell r="K1555" t="str">
            <v>Bildirimsiz</v>
          </cell>
          <cell r="O1555">
            <v>3</v>
          </cell>
          <cell r="P1555">
            <v>0</v>
          </cell>
          <cell r="Q1555">
            <v>0</v>
          </cell>
          <cell r="R1555">
            <v>0</v>
          </cell>
          <cell r="S1555">
            <v>6</v>
          </cell>
          <cell r="T1555">
            <v>0</v>
          </cell>
          <cell r="U1555">
            <v>157.60000000242144</v>
          </cell>
          <cell r="V1555">
            <v>0</v>
          </cell>
          <cell r="W1555">
            <v>0</v>
          </cell>
          <cell r="X1555">
            <v>0</v>
          </cell>
          <cell r="Y1555">
            <v>315.20000000484288</v>
          </cell>
          <cell r="Z1555">
            <v>0</v>
          </cell>
        </row>
        <row r="1556">
          <cell r="C1556" t="str">
            <v>KIRKLARELİ</v>
          </cell>
          <cell r="D1556" t="str">
            <v>KIRKLARELİMERKEZ</v>
          </cell>
          <cell r="H1556" t="str">
            <v>Dağıtım-OG</v>
          </cell>
          <cell r="I1556" t="str">
            <v>Uzun</v>
          </cell>
          <cell r="J1556" t="str">
            <v>Şebeke işletmecisi</v>
          </cell>
          <cell r="K1556" t="str">
            <v>Bildirimsiz</v>
          </cell>
          <cell r="O1556">
            <v>0</v>
          </cell>
          <cell r="P1556">
            <v>104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5458.2666666246951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</row>
        <row r="1557">
          <cell r="C1557" t="str">
            <v>TEKİRDAĞ</v>
          </cell>
          <cell r="D1557" t="str">
            <v>MARMARAEREĞLİSİ</v>
          </cell>
          <cell r="H1557" t="str">
            <v>Dağıtım-AG</v>
          </cell>
          <cell r="I1557" t="str">
            <v>Uzun</v>
          </cell>
          <cell r="J1557" t="str">
            <v>Şebeke işletmecisi</v>
          </cell>
          <cell r="K1557" t="str">
            <v>Bildirimsiz</v>
          </cell>
          <cell r="O1557">
            <v>0</v>
          </cell>
          <cell r="P1557">
            <v>4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209.80000000912696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</row>
        <row r="1558">
          <cell r="C1558" t="str">
            <v>TEKİRDAĞ</v>
          </cell>
          <cell r="D1558" t="str">
            <v>ÇERKEZKÖY</v>
          </cell>
          <cell r="H1558" t="str">
            <v>Dağıtım-OG</v>
          </cell>
          <cell r="I1558" t="str">
            <v>Uzun</v>
          </cell>
          <cell r="J1558" t="str">
            <v>Şebeke işletmecisi</v>
          </cell>
          <cell r="K1558" t="str">
            <v>Bildirimli</v>
          </cell>
          <cell r="O1558">
            <v>30</v>
          </cell>
          <cell r="P1558">
            <v>45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1573.4999997541308</v>
          </cell>
          <cell r="V1558">
            <v>2360.2499996311963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</row>
        <row r="1559">
          <cell r="C1559" t="str">
            <v>EDİRNE</v>
          </cell>
          <cell r="D1559" t="str">
            <v>EDİRNEMERKEZ</v>
          </cell>
          <cell r="H1559" t="str">
            <v>Dağıtım-OG</v>
          </cell>
          <cell r="I1559" t="str">
            <v>Uzun</v>
          </cell>
          <cell r="J1559" t="str">
            <v>Şebeke işletmecisi</v>
          </cell>
          <cell r="K1559" t="str">
            <v>Bildirimsiz</v>
          </cell>
          <cell r="O1559">
            <v>5</v>
          </cell>
          <cell r="P1559">
            <v>435</v>
          </cell>
          <cell r="Q1559">
            <v>0</v>
          </cell>
          <cell r="R1559">
            <v>1</v>
          </cell>
          <cell r="S1559">
            <v>1</v>
          </cell>
          <cell r="T1559">
            <v>0</v>
          </cell>
          <cell r="U1559">
            <v>262.24999995902181</v>
          </cell>
          <cell r="V1559">
            <v>22815.749996434897</v>
          </cell>
          <cell r="W1559">
            <v>0</v>
          </cell>
          <cell r="X1559">
            <v>52.449999991804361</v>
          </cell>
          <cell r="Y1559">
            <v>52.449999991804361</v>
          </cell>
          <cell r="Z1559">
            <v>0</v>
          </cell>
        </row>
        <row r="1560">
          <cell r="C1560" t="str">
            <v>TEKİRDAĞ</v>
          </cell>
          <cell r="D1560" t="str">
            <v>SÜLEYMANPAŞA</v>
          </cell>
          <cell r="H1560" t="str">
            <v>Dağıtım-AG</v>
          </cell>
          <cell r="I1560" t="str">
            <v>Uzun</v>
          </cell>
          <cell r="J1560" t="str">
            <v>Şebeke işletmecisi</v>
          </cell>
          <cell r="K1560" t="str">
            <v>Bildirimsiz</v>
          </cell>
          <cell r="O1560">
            <v>0</v>
          </cell>
          <cell r="P1560">
            <v>12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628.19999999832362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</row>
        <row r="1561">
          <cell r="C1561" t="str">
            <v>TEKİRDAĞ</v>
          </cell>
          <cell r="D1561" t="str">
            <v>ÇERKEZKÖY</v>
          </cell>
          <cell r="H1561" t="str">
            <v>Dağıtım-OG</v>
          </cell>
          <cell r="I1561" t="str">
            <v>Uzun</v>
          </cell>
          <cell r="J1561" t="str">
            <v>Şebeke işletmecisi</v>
          </cell>
          <cell r="K1561" t="str">
            <v>Bildirimli</v>
          </cell>
          <cell r="O1561">
            <v>0</v>
          </cell>
          <cell r="P1561">
            <v>1145</v>
          </cell>
          <cell r="Q1561">
            <v>0</v>
          </cell>
          <cell r="R1561">
            <v>11</v>
          </cell>
          <cell r="S1561">
            <v>0</v>
          </cell>
          <cell r="T1561">
            <v>0</v>
          </cell>
          <cell r="U1561">
            <v>0</v>
          </cell>
          <cell r="V1561">
            <v>59921.666662045754</v>
          </cell>
          <cell r="W1561">
            <v>0</v>
          </cell>
          <cell r="X1561">
            <v>575.66666662227362</v>
          </cell>
          <cell r="Y1561">
            <v>0</v>
          </cell>
          <cell r="Z1561">
            <v>0</v>
          </cell>
        </row>
        <row r="1562">
          <cell r="C1562" t="str">
            <v>KIRKLARELİ</v>
          </cell>
          <cell r="D1562" t="str">
            <v>LÜLEBURGAZ</v>
          </cell>
          <cell r="H1562" t="str">
            <v>Dağıtım-AG</v>
          </cell>
          <cell r="I1562" t="str">
            <v>Uzun</v>
          </cell>
          <cell r="J1562" t="str">
            <v>Şebeke işletmecisi</v>
          </cell>
          <cell r="K1562" t="str">
            <v>Bildirimsiz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21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1098.6500000534579</v>
          </cell>
        </row>
        <row r="1563">
          <cell r="C1563" t="str">
            <v>TEKİRDAĞ</v>
          </cell>
          <cell r="D1563" t="str">
            <v>MALKARA</v>
          </cell>
          <cell r="H1563" t="str">
            <v>Dağıtım-AG</v>
          </cell>
          <cell r="I1563" t="str">
            <v>Uzun</v>
          </cell>
          <cell r="J1563" t="str">
            <v>Şebeke işletmecisi</v>
          </cell>
          <cell r="K1563" t="str">
            <v>Bildirimsiz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1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52.233333337353542</v>
          </cell>
        </row>
        <row r="1564">
          <cell r="C1564" t="str">
            <v>EDİRNE</v>
          </cell>
          <cell r="D1564" t="str">
            <v>UZUNKÖPRÜ</v>
          </cell>
          <cell r="H1564" t="str">
            <v>Dağıtım-OG</v>
          </cell>
          <cell r="I1564" t="str">
            <v>Uzun</v>
          </cell>
          <cell r="J1564" t="str">
            <v>Şebeke işletmecisi</v>
          </cell>
          <cell r="K1564" t="str">
            <v>Bildirimsiz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5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260.99999998114072</v>
          </cell>
          <cell r="Z1564">
            <v>0</v>
          </cell>
        </row>
        <row r="1565">
          <cell r="C1565" t="str">
            <v>EDİRNE</v>
          </cell>
          <cell r="D1565" t="str">
            <v>EDİRNEMERKEZ</v>
          </cell>
          <cell r="H1565" t="str">
            <v>Dağıtım-AG</v>
          </cell>
          <cell r="I1565" t="str">
            <v>Uzun</v>
          </cell>
          <cell r="J1565" t="str">
            <v>Şebeke işletmecisi</v>
          </cell>
          <cell r="K1565" t="str">
            <v>Bildirimsiz</v>
          </cell>
          <cell r="O1565">
            <v>0</v>
          </cell>
          <cell r="P1565">
            <v>30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1564.5000001648441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</row>
        <row r="1566">
          <cell r="C1566" t="str">
            <v>KIRKLARELİ</v>
          </cell>
          <cell r="D1566" t="str">
            <v>VİZE</v>
          </cell>
          <cell r="H1566" t="str">
            <v>Dağıtım-OG</v>
          </cell>
          <cell r="I1566" t="str">
            <v>Uzun</v>
          </cell>
          <cell r="J1566" t="str">
            <v>Şebeke işletmecisi</v>
          </cell>
          <cell r="K1566" t="str">
            <v>Bildirimsiz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1</v>
          </cell>
          <cell r="T1566">
            <v>185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52.150000005494803</v>
          </cell>
          <cell r="Z1566">
            <v>9647.7500010165386</v>
          </cell>
        </row>
        <row r="1567">
          <cell r="C1567" t="str">
            <v>TEKİRDAĞ</v>
          </cell>
          <cell r="D1567" t="str">
            <v>SARAY</v>
          </cell>
          <cell r="H1567" t="str">
            <v>Dağıtım-AG</v>
          </cell>
          <cell r="I1567" t="str">
            <v>Uzun</v>
          </cell>
          <cell r="J1567" t="str">
            <v>Şebeke işletmecisi</v>
          </cell>
          <cell r="K1567" t="str">
            <v>Bildirimsiz</v>
          </cell>
          <cell r="O1567">
            <v>0</v>
          </cell>
          <cell r="P1567">
            <v>18</v>
          </cell>
          <cell r="Q1567">
            <v>0</v>
          </cell>
          <cell r="R1567">
            <v>201</v>
          </cell>
          <cell r="S1567">
            <v>0</v>
          </cell>
          <cell r="T1567">
            <v>0</v>
          </cell>
          <cell r="U1567">
            <v>0</v>
          </cell>
          <cell r="V1567">
            <v>937.19999993685633</v>
          </cell>
          <cell r="W1567">
            <v>0</v>
          </cell>
          <cell r="X1567">
            <v>10465.399999294896</v>
          </cell>
          <cell r="Y1567">
            <v>0</v>
          </cell>
          <cell r="Z1567">
            <v>0</v>
          </cell>
        </row>
        <row r="1568">
          <cell r="C1568" t="str">
            <v>EDİRNE</v>
          </cell>
          <cell r="D1568" t="str">
            <v>LALAPAŞA</v>
          </cell>
          <cell r="H1568" t="str">
            <v>Dağıtım-AG</v>
          </cell>
          <cell r="I1568" t="str">
            <v>Uzun</v>
          </cell>
          <cell r="J1568" t="str">
            <v>Şebeke işletmecisi</v>
          </cell>
          <cell r="K1568" t="str">
            <v>Bildirimsiz</v>
          </cell>
          <cell r="O1568">
            <v>0</v>
          </cell>
          <cell r="P1568">
            <v>0</v>
          </cell>
          <cell r="Q1568">
            <v>0</v>
          </cell>
          <cell r="R1568">
            <v>272</v>
          </cell>
          <cell r="S1568">
            <v>0</v>
          </cell>
          <cell r="T1568">
            <v>3</v>
          </cell>
          <cell r="U1568">
            <v>0</v>
          </cell>
          <cell r="V1568">
            <v>0</v>
          </cell>
          <cell r="W1568">
            <v>0</v>
          </cell>
          <cell r="X1568">
            <v>14157.600000835955</v>
          </cell>
          <cell r="Y1568">
            <v>0</v>
          </cell>
          <cell r="Z1568">
            <v>156.15000000922009</v>
          </cell>
        </row>
        <row r="1569">
          <cell r="C1569" t="str">
            <v>EDİRNE</v>
          </cell>
          <cell r="D1569" t="str">
            <v>MERİÇ</v>
          </cell>
          <cell r="H1569" t="str">
            <v>Dağıtım-AG</v>
          </cell>
          <cell r="I1569" t="str">
            <v>Uzun</v>
          </cell>
          <cell r="J1569" t="str">
            <v>Şebeke işletmecisi</v>
          </cell>
          <cell r="K1569" t="str">
            <v>Bildirimsiz</v>
          </cell>
          <cell r="O1569">
            <v>0</v>
          </cell>
          <cell r="P1569">
            <v>0</v>
          </cell>
          <cell r="Q1569">
            <v>0</v>
          </cell>
          <cell r="R1569">
            <v>24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1249.1999998223037</v>
          </cell>
          <cell r="Y1569">
            <v>0</v>
          </cell>
          <cell r="Z1569">
            <v>0</v>
          </cell>
        </row>
        <row r="1570">
          <cell r="C1570" t="str">
            <v>TEKİRDAĞ</v>
          </cell>
          <cell r="D1570" t="str">
            <v>SARAY</v>
          </cell>
          <cell r="H1570" t="str">
            <v>Dağıtım-AG</v>
          </cell>
          <cell r="I1570" t="str">
            <v>Uzun</v>
          </cell>
          <cell r="J1570" t="str">
            <v>Şebeke işletmecisi</v>
          </cell>
          <cell r="K1570" t="str">
            <v>Bildirimsiz</v>
          </cell>
          <cell r="O1570">
            <v>0</v>
          </cell>
          <cell r="P1570">
            <v>0</v>
          </cell>
          <cell r="Q1570">
            <v>0</v>
          </cell>
          <cell r="R1570">
            <v>1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52.000000001862645</v>
          </cell>
          <cell r="Y1570">
            <v>0</v>
          </cell>
          <cell r="Z1570">
            <v>0</v>
          </cell>
        </row>
        <row r="1571">
          <cell r="C1571" t="str">
            <v>KIRKLARELİ</v>
          </cell>
          <cell r="D1571" t="str">
            <v>BABAESKİ</v>
          </cell>
          <cell r="H1571" t="str">
            <v>Dağıtım-OG</v>
          </cell>
          <cell r="I1571" t="str">
            <v>Uzun</v>
          </cell>
          <cell r="J1571" t="str">
            <v>Şebeke işletmecisi</v>
          </cell>
          <cell r="K1571" t="str">
            <v>Bildirimsiz</v>
          </cell>
          <cell r="O1571">
            <v>1</v>
          </cell>
          <cell r="P1571">
            <v>0</v>
          </cell>
          <cell r="Q1571">
            <v>0</v>
          </cell>
          <cell r="R1571">
            <v>0</v>
          </cell>
          <cell r="S1571">
            <v>9</v>
          </cell>
          <cell r="T1571">
            <v>240</v>
          </cell>
          <cell r="U1571">
            <v>52.000000001862645</v>
          </cell>
          <cell r="V1571">
            <v>0</v>
          </cell>
          <cell r="W1571">
            <v>0</v>
          </cell>
          <cell r="X1571">
            <v>0</v>
          </cell>
          <cell r="Y1571">
            <v>468.00000001676381</v>
          </cell>
          <cell r="Z1571">
            <v>12480.000000447035</v>
          </cell>
        </row>
        <row r="1572">
          <cell r="C1572" t="str">
            <v>TEKİRDAĞ</v>
          </cell>
          <cell r="D1572" t="str">
            <v>SARAY</v>
          </cell>
          <cell r="H1572" t="str">
            <v>Dağıtım-AG</v>
          </cell>
          <cell r="I1572" t="str">
            <v>Uzun</v>
          </cell>
          <cell r="J1572" t="str">
            <v>Şebeke işletmecisi</v>
          </cell>
          <cell r="K1572" t="str">
            <v>Bildirimsiz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29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1507.9999997501727</v>
          </cell>
        </row>
        <row r="1573">
          <cell r="C1573" t="str">
            <v>EDİRNE</v>
          </cell>
          <cell r="D1573" t="str">
            <v>UZUNKÖPRÜ</v>
          </cell>
          <cell r="H1573" t="str">
            <v>Dağıtım-AG</v>
          </cell>
          <cell r="I1573" t="str">
            <v>Uzun</v>
          </cell>
          <cell r="J1573" t="str">
            <v>Şebeke işletmecisi</v>
          </cell>
          <cell r="K1573" t="str">
            <v>Bildirimsiz</v>
          </cell>
          <cell r="O1573">
            <v>0</v>
          </cell>
          <cell r="P1573">
            <v>84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4363.8000000547618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</row>
        <row r="1574">
          <cell r="C1574" t="str">
            <v>EDİRNE</v>
          </cell>
          <cell r="D1574" t="str">
            <v>KEŞAN</v>
          </cell>
          <cell r="H1574" t="str">
            <v>Dağıtım-AG</v>
          </cell>
          <cell r="I1574" t="str">
            <v>Uzun</v>
          </cell>
          <cell r="J1574" t="str">
            <v>Şebeke işletmecisi</v>
          </cell>
          <cell r="K1574" t="str">
            <v>Bildirimsiz</v>
          </cell>
          <cell r="O1574">
            <v>0</v>
          </cell>
          <cell r="P1574">
            <v>2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103.86666668113321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</row>
        <row r="1575">
          <cell r="C1575" t="str">
            <v>KIRKLARELİ</v>
          </cell>
          <cell r="D1575" t="str">
            <v>PINARHİSAR</v>
          </cell>
          <cell r="H1575" t="str">
            <v>Dağıtım-OG</v>
          </cell>
          <cell r="I1575" t="str">
            <v>Uzun</v>
          </cell>
          <cell r="J1575" t="str">
            <v>Şebeke işletmecisi</v>
          </cell>
          <cell r="K1575" t="str">
            <v>Bildirimsiz</v>
          </cell>
          <cell r="O1575">
            <v>0</v>
          </cell>
          <cell r="P1575">
            <v>0</v>
          </cell>
          <cell r="Q1575">
            <v>6</v>
          </cell>
          <cell r="R1575">
            <v>0</v>
          </cell>
          <cell r="S1575">
            <v>15</v>
          </cell>
          <cell r="T1575">
            <v>1888</v>
          </cell>
          <cell r="U1575">
            <v>0</v>
          </cell>
          <cell r="V1575">
            <v>0</v>
          </cell>
          <cell r="W1575">
            <v>311.49999995715916</v>
          </cell>
          <cell r="X1575">
            <v>0</v>
          </cell>
          <cell r="Y1575">
            <v>778.7499998928979</v>
          </cell>
          <cell r="Z1575">
            <v>98018.666653186083</v>
          </cell>
        </row>
        <row r="1576">
          <cell r="C1576" t="str">
            <v>TEKİRDAĞ</v>
          </cell>
          <cell r="D1576" t="str">
            <v>ŞARKÖY</v>
          </cell>
          <cell r="H1576" t="str">
            <v>Dağıtım-AG</v>
          </cell>
          <cell r="I1576" t="str">
            <v>Uzun</v>
          </cell>
          <cell r="J1576" t="str">
            <v>Şebeke işletmecisi</v>
          </cell>
          <cell r="K1576" t="str">
            <v>Bildirimsiz</v>
          </cell>
          <cell r="O1576">
            <v>0</v>
          </cell>
          <cell r="P1576">
            <v>0</v>
          </cell>
          <cell r="Q1576">
            <v>0</v>
          </cell>
          <cell r="R1576">
            <v>101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5233.4833334258292</v>
          </cell>
          <cell r="Y1576">
            <v>0</v>
          </cell>
          <cell r="Z1576">
            <v>0</v>
          </cell>
        </row>
        <row r="1577">
          <cell r="C1577" t="str">
            <v>EDİRNE</v>
          </cell>
          <cell r="D1577" t="str">
            <v>KEŞAN</v>
          </cell>
          <cell r="H1577" t="str">
            <v>Dağıtım-OG</v>
          </cell>
          <cell r="I1577" t="str">
            <v>Uzun</v>
          </cell>
          <cell r="J1577" t="str">
            <v>Şebeke İşletmecisi</v>
          </cell>
          <cell r="K1577" t="str">
            <v>Bildirimsiz</v>
          </cell>
          <cell r="O1577">
            <v>0</v>
          </cell>
          <cell r="P1577">
            <v>890</v>
          </cell>
          <cell r="Q1577">
            <v>0</v>
          </cell>
          <cell r="R1577">
            <v>8</v>
          </cell>
          <cell r="S1577">
            <v>1</v>
          </cell>
          <cell r="T1577">
            <v>1</v>
          </cell>
          <cell r="U1577">
            <v>0</v>
          </cell>
          <cell r="V1577">
            <v>46116.833324823529</v>
          </cell>
          <cell r="W1577">
            <v>0</v>
          </cell>
          <cell r="X1577">
            <v>414.53333325684071</v>
          </cell>
          <cell r="Y1577">
            <v>51.816666657105088</v>
          </cell>
          <cell r="Z1577">
            <v>51.816666657105088</v>
          </cell>
        </row>
        <row r="1578">
          <cell r="C1578" t="str">
            <v>TEKİRDAĞ</v>
          </cell>
          <cell r="D1578" t="str">
            <v>MURATLI</v>
          </cell>
          <cell r="H1578" t="str">
            <v>Dağıtım-AG</v>
          </cell>
          <cell r="I1578" t="str">
            <v>Uzun</v>
          </cell>
          <cell r="J1578" t="str">
            <v>Şebeke işletmecisi</v>
          </cell>
          <cell r="K1578" t="str">
            <v>Bildirimsiz</v>
          </cell>
          <cell r="O1578">
            <v>0</v>
          </cell>
          <cell r="P1578">
            <v>1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51.799999997019768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</row>
        <row r="1579">
          <cell r="C1579" t="str">
            <v>EDİRNE</v>
          </cell>
          <cell r="D1579" t="str">
            <v>UZUNKÖPRÜ</v>
          </cell>
          <cell r="H1579" t="str">
            <v>Dağıtım-OG</v>
          </cell>
          <cell r="I1579" t="str">
            <v>Uzun</v>
          </cell>
          <cell r="J1579" t="str">
            <v>Şebeke işletmecisi</v>
          </cell>
          <cell r="K1579" t="str">
            <v>Bildirimsiz</v>
          </cell>
          <cell r="O1579">
            <v>1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255</v>
          </cell>
          <cell r="U1579">
            <v>51.766666666371748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13200.499999924796</v>
          </cell>
        </row>
        <row r="1580">
          <cell r="C1580" t="str">
            <v>TEKİRDAĞ</v>
          </cell>
          <cell r="D1580" t="str">
            <v>KAPAKLI</v>
          </cell>
          <cell r="H1580" t="str">
            <v>Dağıtım-AG</v>
          </cell>
          <cell r="I1580" t="str">
            <v>Uzun</v>
          </cell>
          <cell r="J1580" t="str">
            <v>Dışsal</v>
          </cell>
          <cell r="K1580" t="str">
            <v>Bildirimsiz</v>
          </cell>
          <cell r="O1580">
            <v>0</v>
          </cell>
          <cell r="P1580">
            <v>1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51.733333335723728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</row>
        <row r="1581">
          <cell r="C1581" t="str">
            <v>KIRKLARELİ</v>
          </cell>
          <cell r="D1581" t="str">
            <v>DEMİRKÖY</v>
          </cell>
          <cell r="H1581" t="str">
            <v>Dağıtım-OG</v>
          </cell>
          <cell r="I1581" t="str">
            <v>Uzun</v>
          </cell>
          <cell r="J1581" t="str">
            <v>Şebeke İşletmecisi</v>
          </cell>
          <cell r="K1581" t="str">
            <v>Bildirimsiz</v>
          </cell>
          <cell r="O1581">
            <v>0</v>
          </cell>
          <cell r="P1581">
            <v>0</v>
          </cell>
          <cell r="Q1581">
            <v>0</v>
          </cell>
          <cell r="R1581">
            <v>688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35581.066672839224</v>
          </cell>
          <cell r="Y1581">
            <v>0</v>
          </cell>
          <cell r="Z1581">
            <v>0</v>
          </cell>
        </row>
        <row r="1582">
          <cell r="C1582" t="str">
            <v>KIRKLARELİ</v>
          </cell>
          <cell r="D1582" t="str">
            <v>KIRKLARELİMERKEZ</v>
          </cell>
          <cell r="H1582" t="str">
            <v>Dağıtım-OG</v>
          </cell>
          <cell r="I1582" t="str">
            <v>Uzun</v>
          </cell>
          <cell r="J1582" t="str">
            <v>Şebeke işletmecisi</v>
          </cell>
          <cell r="K1582" t="str">
            <v>Bildirimli</v>
          </cell>
          <cell r="O1582">
            <v>2</v>
          </cell>
          <cell r="P1582">
            <v>5198</v>
          </cell>
          <cell r="Q1582">
            <v>0</v>
          </cell>
          <cell r="R1582">
            <v>0</v>
          </cell>
          <cell r="S1582">
            <v>1</v>
          </cell>
          <cell r="T1582">
            <v>3</v>
          </cell>
          <cell r="U1582">
            <v>103.33333332790062</v>
          </cell>
          <cell r="V1582">
            <v>268563.33331921371</v>
          </cell>
          <cell r="W1582">
            <v>0</v>
          </cell>
          <cell r="X1582">
            <v>0</v>
          </cell>
          <cell r="Y1582">
            <v>51.666666663950309</v>
          </cell>
          <cell r="Z1582">
            <v>154.99999999185093</v>
          </cell>
        </row>
        <row r="1583">
          <cell r="C1583" t="str">
            <v>EDİRNE</v>
          </cell>
          <cell r="D1583" t="str">
            <v>HAVSA</v>
          </cell>
          <cell r="H1583" t="str">
            <v>Dağıtım-OG</v>
          </cell>
          <cell r="I1583" t="str">
            <v>Uzun</v>
          </cell>
          <cell r="J1583" t="str">
            <v>Şebeke işletmecisi</v>
          </cell>
          <cell r="K1583" t="str">
            <v>Bildirimsiz</v>
          </cell>
          <cell r="O1583">
            <v>0</v>
          </cell>
          <cell r="P1583">
            <v>0</v>
          </cell>
          <cell r="Q1583">
            <v>4</v>
          </cell>
          <cell r="R1583">
            <v>0</v>
          </cell>
          <cell r="S1583">
            <v>1</v>
          </cell>
          <cell r="T1583">
            <v>0</v>
          </cell>
          <cell r="U1583">
            <v>0</v>
          </cell>
          <cell r="V1583">
            <v>0</v>
          </cell>
          <cell r="W1583">
            <v>206.39999996870756</v>
          </cell>
          <cell r="X1583">
            <v>0</v>
          </cell>
          <cell r="Y1583">
            <v>51.59999999217689</v>
          </cell>
          <cell r="Z1583">
            <v>0</v>
          </cell>
        </row>
        <row r="1584">
          <cell r="C1584" t="str">
            <v>EDİRNE</v>
          </cell>
          <cell r="D1584" t="str">
            <v>UZUNKÖPRÜ</v>
          </cell>
          <cell r="H1584" t="str">
            <v>Dağıtım-AG</v>
          </cell>
          <cell r="I1584" t="str">
            <v>Uzun</v>
          </cell>
          <cell r="J1584" t="str">
            <v>Şebeke işletmecisi</v>
          </cell>
          <cell r="K1584" t="str">
            <v>Bildirimsiz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29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1494.4666668993887</v>
          </cell>
        </row>
        <row r="1585">
          <cell r="C1585" t="str">
            <v>TEKİRDAĞ</v>
          </cell>
          <cell r="D1585" t="str">
            <v>ÇORLU</v>
          </cell>
          <cell r="H1585" t="str">
            <v>Dağıtım-AG</v>
          </cell>
          <cell r="I1585" t="str">
            <v>Uzun</v>
          </cell>
          <cell r="J1585" t="str">
            <v>Şebeke işletmecisi</v>
          </cell>
          <cell r="K1585" t="str">
            <v>Bildirimsiz</v>
          </cell>
          <cell r="O1585">
            <v>0</v>
          </cell>
          <cell r="P1585">
            <v>132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6802.3999996762723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</row>
        <row r="1586">
          <cell r="C1586" t="str">
            <v>EDİRNE</v>
          </cell>
          <cell r="D1586" t="str">
            <v>EDİRNEMERKEZ</v>
          </cell>
          <cell r="H1586" t="str">
            <v>Dağıtım-OG</v>
          </cell>
          <cell r="I1586" t="str">
            <v>Uzun</v>
          </cell>
          <cell r="J1586" t="str">
            <v>Şebeke işletmecisi</v>
          </cell>
          <cell r="K1586" t="str">
            <v>Bildirimsiz</v>
          </cell>
          <cell r="O1586">
            <v>1</v>
          </cell>
          <cell r="P1586">
            <v>1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51.533333330880851</v>
          </cell>
          <cell r="V1586">
            <v>51.533333330880851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</row>
        <row r="1587">
          <cell r="C1587" t="str">
            <v>EDİRNE</v>
          </cell>
          <cell r="D1587" t="str">
            <v>İPSALA</v>
          </cell>
          <cell r="H1587" t="str">
            <v>Dağıtım-AG</v>
          </cell>
          <cell r="I1587" t="str">
            <v>Uzun</v>
          </cell>
          <cell r="J1587" t="str">
            <v>Şebeke işletmecisi</v>
          </cell>
          <cell r="K1587" t="str">
            <v>Bildirimsiz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1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51.500000000232831</v>
          </cell>
        </row>
        <row r="1588">
          <cell r="C1588" t="str">
            <v>TEKİRDAĞ</v>
          </cell>
          <cell r="D1588" t="str">
            <v>HAYRABOLU</v>
          </cell>
          <cell r="H1588" t="str">
            <v>Dağıtım-OG</v>
          </cell>
          <cell r="I1588" t="str">
            <v>Uzun</v>
          </cell>
          <cell r="J1588" t="str">
            <v>Şebeke işletmecisi</v>
          </cell>
          <cell r="K1588" t="str">
            <v>Bildirimsiz</v>
          </cell>
          <cell r="O1588">
            <v>0</v>
          </cell>
          <cell r="P1588">
            <v>1</v>
          </cell>
          <cell r="Q1588">
            <v>7</v>
          </cell>
          <cell r="R1588">
            <v>0</v>
          </cell>
          <cell r="S1588">
            <v>4</v>
          </cell>
          <cell r="T1588">
            <v>569</v>
          </cell>
          <cell r="U1588">
            <v>0</v>
          </cell>
          <cell r="V1588">
            <v>51.433333328459412</v>
          </cell>
          <cell r="W1588">
            <v>360.03333329921588</v>
          </cell>
          <cell r="X1588">
            <v>0</v>
          </cell>
          <cell r="Y1588">
            <v>205.73333331383765</v>
          </cell>
          <cell r="Z1588">
            <v>29265.566663893405</v>
          </cell>
        </row>
        <row r="1589">
          <cell r="C1589" t="str">
            <v>TEKİRDAĞ</v>
          </cell>
          <cell r="D1589" t="str">
            <v>MARMARAEREĞLİSİ</v>
          </cell>
          <cell r="H1589" t="str">
            <v>Dağıtım-OG</v>
          </cell>
          <cell r="I1589" t="str">
            <v>Uzun</v>
          </cell>
          <cell r="J1589" t="str">
            <v>Şebeke İşletmecisi</v>
          </cell>
          <cell r="K1589" t="str">
            <v>Bildirimsiz</v>
          </cell>
          <cell r="O1589">
            <v>1</v>
          </cell>
          <cell r="P1589">
            <v>0</v>
          </cell>
          <cell r="Q1589">
            <v>17</v>
          </cell>
          <cell r="R1589">
            <v>0</v>
          </cell>
          <cell r="S1589">
            <v>0</v>
          </cell>
          <cell r="T1589">
            <v>0</v>
          </cell>
          <cell r="U1589">
            <v>51.399999997811392</v>
          </cell>
          <cell r="V1589">
            <v>0</v>
          </cell>
          <cell r="W1589">
            <v>873.79999996279366</v>
          </cell>
          <cell r="X1589">
            <v>0</v>
          </cell>
          <cell r="Y1589">
            <v>0</v>
          </cell>
          <cell r="Z1589">
            <v>0</v>
          </cell>
        </row>
        <row r="1590">
          <cell r="C1590" t="str">
            <v>EDİRNE</v>
          </cell>
          <cell r="D1590" t="str">
            <v>ENEZ</v>
          </cell>
          <cell r="H1590" t="str">
            <v>Dağıtım-OG</v>
          </cell>
          <cell r="I1590" t="str">
            <v>Uzun</v>
          </cell>
          <cell r="J1590" t="str">
            <v>Şebeke işletmecisi</v>
          </cell>
          <cell r="K1590" t="str">
            <v>Bildirimsiz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35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1798.9999999233987</v>
          </cell>
        </row>
        <row r="1591">
          <cell r="C1591" t="str">
            <v>EDİRNE</v>
          </cell>
          <cell r="D1591" t="str">
            <v>EDİRNEMERKEZ</v>
          </cell>
          <cell r="H1591" t="str">
            <v>Dağıtım-AG</v>
          </cell>
          <cell r="I1591" t="str">
            <v>Uzun</v>
          </cell>
          <cell r="J1591" t="str">
            <v>Şebeke işletmecisi</v>
          </cell>
          <cell r="K1591" t="str">
            <v>Bildirimsiz</v>
          </cell>
          <cell r="O1591">
            <v>0</v>
          </cell>
          <cell r="P1591">
            <v>3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154.10000000149012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</row>
        <row r="1592">
          <cell r="C1592" t="str">
            <v>TEKİRDAĞ</v>
          </cell>
          <cell r="D1592" t="str">
            <v>ERGENE</v>
          </cell>
          <cell r="H1592" t="str">
            <v>Dağıtım-AG</v>
          </cell>
          <cell r="I1592" t="str">
            <v>Uzun</v>
          </cell>
          <cell r="J1592" t="str">
            <v>Şebeke işletmecisi</v>
          </cell>
          <cell r="K1592" t="str">
            <v>Bildirimsiz</v>
          </cell>
          <cell r="O1592">
            <v>0</v>
          </cell>
          <cell r="P1592">
            <v>50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2568.3333333581686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</row>
        <row r="1593">
          <cell r="C1593" t="str">
            <v>EDİRNE</v>
          </cell>
          <cell r="D1593" t="str">
            <v>UZUNKÖPRÜ</v>
          </cell>
          <cell r="H1593" t="str">
            <v>Dağıtım-AG</v>
          </cell>
          <cell r="I1593" t="str">
            <v>Uzun</v>
          </cell>
          <cell r="J1593" t="str">
            <v>Şebeke işletmecisi</v>
          </cell>
          <cell r="K1593" t="str">
            <v>Bildirimsiz</v>
          </cell>
          <cell r="O1593">
            <v>0</v>
          </cell>
          <cell r="P1593">
            <v>0</v>
          </cell>
          <cell r="Q1593">
            <v>0</v>
          </cell>
          <cell r="R1593">
            <v>2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102.66666665207595</v>
          </cell>
          <cell r="Y1593">
            <v>0</v>
          </cell>
          <cell r="Z1593">
            <v>0</v>
          </cell>
        </row>
        <row r="1594">
          <cell r="C1594" t="str">
            <v>KIRKLARELİ</v>
          </cell>
          <cell r="D1594" t="str">
            <v>LÜLEBURGAZ</v>
          </cell>
          <cell r="H1594" t="str">
            <v>Dağıtım-OG</v>
          </cell>
          <cell r="I1594" t="str">
            <v>Uzun</v>
          </cell>
          <cell r="J1594" t="str">
            <v>Şebeke İşletmecisi</v>
          </cell>
          <cell r="K1594" t="str">
            <v>Bildirimsiz</v>
          </cell>
          <cell r="O1594">
            <v>3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153.8500000059139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</row>
        <row r="1595">
          <cell r="C1595" t="str">
            <v>KIRKLARELİ</v>
          </cell>
          <cell r="D1595" t="str">
            <v>KIRKLARELİMERKEZ</v>
          </cell>
          <cell r="H1595" t="str">
            <v>Dağıtım-AG</v>
          </cell>
          <cell r="I1595" t="str">
            <v>Uzun</v>
          </cell>
          <cell r="J1595" t="str">
            <v>Şebeke işletmecisi</v>
          </cell>
          <cell r="K1595" t="str">
            <v>Bildirimsiz</v>
          </cell>
          <cell r="O1595">
            <v>0</v>
          </cell>
          <cell r="P1595">
            <v>16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820.00000007450581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</row>
        <row r="1596">
          <cell r="C1596" t="str">
            <v>TEKİRDAĞ</v>
          </cell>
          <cell r="D1596" t="str">
            <v>MURATLI</v>
          </cell>
          <cell r="H1596" t="str">
            <v>Dağıtım-AG</v>
          </cell>
          <cell r="I1596" t="str">
            <v>Uzun</v>
          </cell>
          <cell r="J1596" t="str">
            <v>Şebeke işletmecisi</v>
          </cell>
          <cell r="K1596" t="str">
            <v>Bildirimsiz</v>
          </cell>
          <cell r="O1596">
            <v>0</v>
          </cell>
          <cell r="P1596">
            <v>7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358.74999995925464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</row>
        <row r="1597">
          <cell r="C1597" t="str">
            <v>TEKİRDAĞ</v>
          </cell>
          <cell r="D1597" t="str">
            <v>ÇORLU</v>
          </cell>
          <cell r="H1597" t="str">
            <v>Dağıtım-AG</v>
          </cell>
          <cell r="I1597" t="str">
            <v>Uzun</v>
          </cell>
          <cell r="J1597" t="str">
            <v>Şebeke işletmecisi</v>
          </cell>
          <cell r="K1597" t="str">
            <v>Bildirimsiz</v>
          </cell>
          <cell r="O1597">
            <v>0</v>
          </cell>
          <cell r="P1597">
            <v>44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2253.5333331953734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</row>
        <row r="1598">
          <cell r="C1598" t="str">
            <v>TEKİRDAĞ</v>
          </cell>
          <cell r="D1598" t="str">
            <v>MURATLI</v>
          </cell>
          <cell r="H1598" t="str">
            <v>Dağıtım-AG</v>
          </cell>
          <cell r="I1598" t="str">
            <v>Uzun</v>
          </cell>
          <cell r="J1598" t="str">
            <v>Şebeke işletmecisi</v>
          </cell>
          <cell r="K1598" t="str">
            <v>Bildirimsiz</v>
          </cell>
          <cell r="O1598">
            <v>0</v>
          </cell>
          <cell r="P1598">
            <v>59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3019.8166666401085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</row>
        <row r="1599">
          <cell r="C1599" t="str">
            <v>TEKİRDAĞ</v>
          </cell>
          <cell r="D1599" t="str">
            <v>MURATLI</v>
          </cell>
          <cell r="H1599" t="str">
            <v>Dağıtım-AG</v>
          </cell>
          <cell r="I1599" t="str">
            <v>Uzun</v>
          </cell>
          <cell r="J1599" t="str">
            <v>Şebeke işletmecisi</v>
          </cell>
          <cell r="K1599" t="str">
            <v>Bildirimsiz</v>
          </cell>
          <cell r="O1599">
            <v>0</v>
          </cell>
          <cell r="P1599">
            <v>2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102.16666668187827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</row>
        <row r="1600">
          <cell r="C1600" t="str">
            <v>KIRKLARELİ</v>
          </cell>
          <cell r="D1600" t="str">
            <v>KIRKLARELİMERKEZ</v>
          </cell>
          <cell r="H1600" t="str">
            <v>Dağıtım-OG</v>
          </cell>
          <cell r="I1600" t="str">
            <v>Uzun</v>
          </cell>
          <cell r="J1600" t="str">
            <v>Şebeke işletmecisi</v>
          </cell>
          <cell r="K1600" t="str">
            <v>Bildirimsiz</v>
          </cell>
          <cell r="O1600">
            <v>0</v>
          </cell>
          <cell r="P1600">
            <v>0</v>
          </cell>
          <cell r="Q1600">
            <v>2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102.13333331979811</v>
          </cell>
          <cell r="X1600">
            <v>0</v>
          </cell>
          <cell r="Y1600">
            <v>0</v>
          </cell>
          <cell r="Z1600">
            <v>0</v>
          </cell>
        </row>
        <row r="1601">
          <cell r="C1601" t="str">
            <v>KIRKLARELİ</v>
          </cell>
          <cell r="D1601" t="str">
            <v>BABAESKİ</v>
          </cell>
          <cell r="H1601" t="str">
            <v>Dağıtım-OG</v>
          </cell>
          <cell r="I1601" t="str">
            <v>Uzun</v>
          </cell>
          <cell r="J1601" t="str">
            <v>Şebeke işletmecisi</v>
          </cell>
          <cell r="K1601" t="str">
            <v>Bildirimsiz</v>
          </cell>
          <cell r="O1601">
            <v>4</v>
          </cell>
          <cell r="P1601">
            <v>5</v>
          </cell>
          <cell r="Q1601">
            <v>5</v>
          </cell>
          <cell r="R1601">
            <v>1894</v>
          </cell>
          <cell r="S1601">
            <v>3</v>
          </cell>
          <cell r="T1601">
            <v>1</v>
          </cell>
          <cell r="U1601">
            <v>204.26666663959622</v>
          </cell>
          <cell r="V1601">
            <v>255.33333329949528</v>
          </cell>
          <cell r="W1601">
            <v>255.33333329949528</v>
          </cell>
          <cell r="X1601">
            <v>96720.266653848812</v>
          </cell>
          <cell r="Y1601">
            <v>153.19999997969717</v>
          </cell>
          <cell r="Z1601">
            <v>51.066666659899056</v>
          </cell>
        </row>
        <row r="1602">
          <cell r="C1602" t="str">
            <v>EDİRNE</v>
          </cell>
          <cell r="D1602" t="str">
            <v>MERİÇ</v>
          </cell>
          <cell r="H1602" t="str">
            <v>Dağıtım-OG</v>
          </cell>
          <cell r="I1602" t="str">
            <v>Uzun</v>
          </cell>
          <cell r="J1602" t="str">
            <v>Şebeke İşletmecisi</v>
          </cell>
          <cell r="K1602" t="str">
            <v>Bildirimsiz</v>
          </cell>
          <cell r="O1602">
            <v>0</v>
          </cell>
          <cell r="P1602">
            <v>0</v>
          </cell>
          <cell r="Q1602">
            <v>1</v>
          </cell>
          <cell r="R1602">
            <v>374</v>
          </cell>
          <cell r="S1602">
            <v>1</v>
          </cell>
          <cell r="T1602">
            <v>0</v>
          </cell>
          <cell r="U1602">
            <v>0</v>
          </cell>
          <cell r="V1602">
            <v>0</v>
          </cell>
          <cell r="W1602">
            <v>51.049999999813735</v>
          </cell>
          <cell r="X1602">
            <v>19092.699999930337</v>
          </cell>
          <cell r="Y1602">
            <v>51.049999999813735</v>
          </cell>
          <cell r="Z1602">
            <v>0</v>
          </cell>
        </row>
        <row r="1603">
          <cell r="C1603" t="str">
            <v>KIRKLARELİ</v>
          </cell>
          <cell r="D1603" t="str">
            <v>DEMİRKÖY</v>
          </cell>
          <cell r="H1603" t="str">
            <v>Dağıtım-AG</v>
          </cell>
          <cell r="I1603" t="str">
            <v>Uzun</v>
          </cell>
          <cell r="J1603" t="str">
            <v>Şebeke işletmecisi</v>
          </cell>
          <cell r="K1603" t="str">
            <v>Bildirimsiz</v>
          </cell>
          <cell r="O1603">
            <v>0</v>
          </cell>
          <cell r="P1603">
            <v>0</v>
          </cell>
          <cell r="Q1603">
            <v>0</v>
          </cell>
          <cell r="R1603">
            <v>1</v>
          </cell>
          <cell r="S1603">
            <v>0</v>
          </cell>
          <cell r="T1603">
            <v>18</v>
          </cell>
          <cell r="U1603">
            <v>0</v>
          </cell>
          <cell r="V1603">
            <v>0</v>
          </cell>
          <cell r="W1603">
            <v>0</v>
          </cell>
          <cell r="X1603">
            <v>51.016666658688337</v>
          </cell>
          <cell r="Y1603">
            <v>0</v>
          </cell>
          <cell r="Z1603">
            <v>918.29999985639006</v>
          </cell>
        </row>
        <row r="1604">
          <cell r="C1604" t="str">
            <v>KIRKLARELİ</v>
          </cell>
          <cell r="D1604" t="str">
            <v>KIRKLARELİMERKEZ</v>
          </cell>
          <cell r="H1604" t="str">
            <v>Dağıtım-AG</v>
          </cell>
          <cell r="I1604" t="str">
            <v>Uzun</v>
          </cell>
          <cell r="J1604" t="str">
            <v>Şebeke işletmecisi</v>
          </cell>
          <cell r="K1604" t="str">
            <v>Bildirimsiz</v>
          </cell>
          <cell r="O1604">
            <v>0</v>
          </cell>
          <cell r="P1604">
            <v>27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1376.9999999622814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</row>
        <row r="1605">
          <cell r="C1605" t="str">
            <v>TEKİRDAĞ</v>
          </cell>
          <cell r="D1605" t="str">
            <v>HAYRABOLU</v>
          </cell>
          <cell r="H1605" t="str">
            <v>Dağıtım-OG</v>
          </cell>
          <cell r="I1605" t="str">
            <v>Uzun</v>
          </cell>
          <cell r="J1605" t="str">
            <v>Şebeke işletmecisi</v>
          </cell>
          <cell r="K1605" t="str">
            <v>Bildirimsiz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7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356.29999997327104</v>
          </cell>
        </row>
        <row r="1606">
          <cell r="C1606" t="str">
            <v>KIRKLARELİ</v>
          </cell>
          <cell r="D1606" t="str">
            <v>KIRKLARELİMERKEZ</v>
          </cell>
          <cell r="H1606" t="str">
            <v>Dağıtım-OG</v>
          </cell>
          <cell r="I1606" t="str">
            <v>Uzun</v>
          </cell>
          <cell r="J1606" t="str">
            <v>Şebeke işletmecisi</v>
          </cell>
          <cell r="K1606" t="str">
            <v>Bildirimli</v>
          </cell>
          <cell r="O1606">
            <v>1</v>
          </cell>
          <cell r="P1606">
            <v>1374</v>
          </cell>
          <cell r="Q1606">
            <v>0</v>
          </cell>
          <cell r="R1606">
            <v>0</v>
          </cell>
          <cell r="S1606">
            <v>0</v>
          </cell>
          <cell r="T1606">
            <v>1</v>
          </cell>
          <cell r="U1606">
            <v>50.750000003026798</v>
          </cell>
          <cell r="V1606">
            <v>69730.500004158821</v>
          </cell>
          <cell r="W1606">
            <v>0</v>
          </cell>
          <cell r="X1606">
            <v>0</v>
          </cell>
          <cell r="Y1606">
            <v>0</v>
          </cell>
          <cell r="Z1606">
            <v>50.750000003026798</v>
          </cell>
        </row>
        <row r="1607">
          <cell r="C1607" t="str">
            <v>TEKİRDAĞ</v>
          </cell>
          <cell r="D1607" t="str">
            <v>ŞARKÖY</v>
          </cell>
          <cell r="H1607" t="str">
            <v>Dağıtım-AG</v>
          </cell>
          <cell r="I1607" t="str">
            <v>Uzun</v>
          </cell>
          <cell r="J1607" t="str">
            <v>Şebeke işletmecisi</v>
          </cell>
          <cell r="K1607" t="str">
            <v>Bildirimsiz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1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50.716666661901399</v>
          </cell>
        </row>
        <row r="1608">
          <cell r="C1608" t="str">
            <v>KIRKLARELİ</v>
          </cell>
          <cell r="D1608" t="str">
            <v>LÜLEBURGAZ</v>
          </cell>
          <cell r="H1608" t="str">
            <v>Dağıtım-AG</v>
          </cell>
          <cell r="I1608" t="str">
            <v>Uzun</v>
          </cell>
          <cell r="J1608" t="str">
            <v>Şebeke işletmecisi</v>
          </cell>
          <cell r="K1608" t="str">
            <v>Bildirimsiz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4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202.33333331532776</v>
          </cell>
        </row>
        <row r="1609">
          <cell r="C1609" t="str">
            <v>KIRKLARELİ</v>
          </cell>
          <cell r="D1609" t="str">
            <v>DEMİRKÖY</v>
          </cell>
          <cell r="H1609" t="str">
            <v>Dağıtım-OG</v>
          </cell>
          <cell r="I1609" t="str">
            <v>Uzun</v>
          </cell>
          <cell r="J1609" t="str">
            <v>Şebeke İşletmecisi</v>
          </cell>
          <cell r="K1609" t="str">
            <v>Bildirimsiz</v>
          </cell>
          <cell r="O1609">
            <v>0</v>
          </cell>
          <cell r="P1609">
            <v>0</v>
          </cell>
          <cell r="Q1609">
            <v>2</v>
          </cell>
          <cell r="R1609">
            <v>361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101.09999999636784</v>
          </cell>
          <cell r="X1609">
            <v>18248.549999344395</v>
          </cell>
          <cell r="Y1609">
            <v>0</v>
          </cell>
          <cell r="Z1609">
            <v>0</v>
          </cell>
        </row>
        <row r="1610">
          <cell r="C1610" t="str">
            <v>KIRKLARELİ</v>
          </cell>
          <cell r="D1610" t="str">
            <v>DEMİRKÖY</v>
          </cell>
          <cell r="H1610" t="str">
            <v>Dağıtım-AG</v>
          </cell>
          <cell r="I1610" t="str">
            <v>Uzun</v>
          </cell>
          <cell r="J1610" t="str">
            <v>Şebeke işletmecisi</v>
          </cell>
          <cell r="K1610" t="str">
            <v>Bildirimsiz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50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2524.1666663205251</v>
          </cell>
        </row>
        <row r="1611">
          <cell r="C1611" t="str">
            <v>TEKİRDAĞ</v>
          </cell>
          <cell r="D1611" t="str">
            <v>ÇORLU</v>
          </cell>
          <cell r="H1611" t="str">
            <v>Dağıtım-OG</v>
          </cell>
          <cell r="I1611" t="str">
            <v>Uzun</v>
          </cell>
          <cell r="J1611" t="str">
            <v>Şebeke İşletmecisi</v>
          </cell>
          <cell r="K1611" t="str">
            <v>Bildirimsiz</v>
          </cell>
          <cell r="O1611">
            <v>0</v>
          </cell>
          <cell r="P1611">
            <v>10</v>
          </cell>
          <cell r="Q1611">
            <v>0</v>
          </cell>
          <cell r="R1611">
            <v>0</v>
          </cell>
          <cell r="S1611">
            <v>11</v>
          </cell>
          <cell r="T1611">
            <v>981</v>
          </cell>
          <cell r="U1611">
            <v>0</v>
          </cell>
          <cell r="V1611">
            <v>503.83333334466442</v>
          </cell>
          <cell r="W1611">
            <v>0</v>
          </cell>
          <cell r="X1611">
            <v>0</v>
          </cell>
          <cell r="Y1611">
            <v>554.21666667913087</v>
          </cell>
          <cell r="Z1611">
            <v>49426.05000111158</v>
          </cell>
        </row>
        <row r="1612">
          <cell r="C1612" t="str">
            <v>TEKİRDAĞ</v>
          </cell>
          <cell r="D1612" t="str">
            <v>SÜLEYMANPAŞA</v>
          </cell>
          <cell r="H1612" t="str">
            <v>Dağıtım-AG</v>
          </cell>
          <cell r="I1612" t="str">
            <v>Uzun</v>
          </cell>
          <cell r="J1612" t="str">
            <v>Şebeke işletmecisi</v>
          </cell>
          <cell r="K1612" t="str">
            <v>Bildirimsiz</v>
          </cell>
          <cell r="O1612">
            <v>0</v>
          </cell>
          <cell r="P1612">
            <v>2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100.76666666893288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</row>
        <row r="1613">
          <cell r="C1613" t="str">
            <v>TEKİRDAĞ</v>
          </cell>
          <cell r="D1613" t="str">
            <v>ÇERKEZKÖY</v>
          </cell>
          <cell r="H1613" t="str">
            <v>Dağıtım-AG</v>
          </cell>
          <cell r="I1613" t="str">
            <v>Uzun</v>
          </cell>
          <cell r="J1613" t="str">
            <v>Dışsal</v>
          </cell>
          <cell r="K1613" t="str">
            <v>Bildirimsiz</v>
          </cell>
          <cell r="O1613">
            <v>0</v>
          </cell>
          <cell r="P1613">
            <v>156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7857.200001203455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</row>
        <row r="1614">
          <cell r="C1614" t="str">
            <v>KIRKLARELİ</v>
          </cell>
          <cell r="D1614" t="str">
            <v>BABAESKİ</v>
          </cell>
          <cell r="H1614" t="str">
            <v>Dağıtım-OG</v>
          </cell>
          <cell r="I1614" t="str">
            <v>Uzun</v>
          </cell>
          <cell r="J1614" t="str">
            <v>Şebeke işletmecisi</v>
          </cell>
          <cell r="K1614" t="str">
            <v>Bildirimsiz</v>
          </cell>
          <cell r="O1614">
            <v>2</v>
          </cell>
          <cell r="P1614">
            <v>1</v>
          </cell>
          <cell r="Q1614">
            <v>3</v>
          </cell>
          <cell r="R1614">
            <v>17</v>
          </cell>
          <cell r="S1614">
            <v>0</v>
          </cell>
          <cell r="T1614">
            <v>0</v>
          </cell>
          <cell r="U1614">
            <v>100.53333332296461</v>
          </cell>
          <cell r="V1614">
            <v>50.266666661482304</v>
          </cell>
          <cell r="W1614">
            <v>150.79999998444691</v>
          </cell>
          <cell r="X1614">
            <v>854.53333324519917</v>
          </cell>
          <cell r="Y1614">
            <v>0</v>
          </cell>
          <cell r="Z1614">
            <v>0</v>
          </cell>
        </row>
        <row r="1615">
          <cell r="C1615" t="str">
            <v>KIRKLARELİ</v>
          </cell>
          <cell r="D1615" t="str">
            <v>LÜLEBURGAZ</v>
          </cell>
          <cell r="H1615" t="str">
            <v>Dağıtım-AG</v>
          </cell>
          <cell r="I1615" t="str">
            <v>Uzun</v>
          </cell>
          <cell r="J1615" t="str">
            <v>Şebeke işletmecisi</v>
          </cell>
          <cell r="K1615" t="str">
            <v>Bildirimsiz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2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100.40000000037253</v>
          </cell>
        </row>
        <row r="1616">
          <cell r="C1616" t="str">
            <v>KIRKLARELİ</v>
          </cell>
          <cell r="D1616" t="str">
            <v>LÜLEBURGAZ</v>
          </cell>
          <cell r="H1616" t="str">
            <v>Dağıtım-OG</v>
          </cell>
          <cell r="I1616" t="str">
            <v>Uzun</v>
          </cell>
          <cell r="J1616" t="str">
            <v>Şebeke İşletmecisi</v>
          </cell>
          <cell r="K1616" t="str">
            <v>Bildirimsiz</v>
          </cell>
          <cell r="O1616">
            <v>64</v>
          </cell>
          <cell r="P1616">
            <v>2201</v>
          </cell>
          <cell r="Q1616">
            <v>0</v>
          </cell>
          <cell r="R1616">
            <v>0</v>
          </cell>
          <cell r="S1616">
            <v>11</v>
          </cell>
          <cell r="T1616">
            <v>6</v>
          </cell>
          <cell r="U1616">
            <v>3210.6666661798954</v>
          </cell>
          <cell r="V1616">
            <v>110416.83331659297</v>
          </cell>
          <cell r="W1616">
            <v>0</v>
          </cell>
          <cell r="X1616">
            <v>0</v>
          </cell>
          <cell r="Y1616">
            <v>551.83333324966952</v>
          </cell>
          <cell r="Z1616">
            <v>300.99999995436519</v>
          </cell>
        </row>
        <row r="1617">
          <cell r="C1617" t="str">
            <v>KIRKLARELİ</v>
          </cell>
          <cell r="D1617" t="str">
            <v>KIRKLARELİMERKEZ</v>
          </cell>
          <cell r="H1617" t="str">
            <v>Dağıtım-OG</v>
          </cell>
          <cell r="I1617" t="str">
            <v>Uzun</v>
          </cell>
          <cell r="J1617" t="str">
            <v>Şebeke işletmecisi</v>
          </cell>
          <cell r="K1617" t="str">
            <v>Bildirimli</v>
          </cell>
          <cell r="O1617">
            <v>0</v>
          </cell>
          <cell r="P1617">
            <v>1665</v>
          </cell>
          <cell r="Q1617">
            <v>0</v>
          </cell>
          <cell r="R1617">
            <v>0</v>
          </cell>
          <cell r="S1617">
            <v>0</v>
          </cell>
          <cell r="T1617">
            <v>1</v>
          </cell>
          <cell r="U1617">
            <v>0</v>
          </cell>
          <cell r="V1617">
            <v>83527.499987336341</v>
          </cell>
          <cell r="W1617">
            <v>0</v>
          </cell>
          <cell r="X1617">
            <v>0</v>
          </cell>
          <cell r="Y1617">
            <v>0</v>
          </cell>
          <cell r="Z1617">
            <v>50.166666659060866</v>
          </cell>
        </row>
        <row r="1618">
          <cell r="C1618" t="str">
            <v>EDİRNE</v>
          </cell>
          <cell r="D1618" t="str">
            <v>UZUNKÖPRÜ</v>
          </cell>
          <cell r="H1618" t="str">
            <v>Dağıtım-AG</v>
          </cell>
          <cell r="I1618" t="str">
            <v>Uzun</v>
          </cell>
          <cell r="J1618" t="str">
            <v>Şebeke işletmecisi</v>
          </cell>
          <cell r="K1618" t="str">
            <v>Bildirimsiz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116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5815.4666660958901</v>
          </cell>
        </row>
        <row r="1619">
          <cell r="C1619" t="str">
            <v>TEKİRDAĞ</v>
          </cell>
          <cell r="D1619" t="str">
            <v>ŞARKÖY</v>
          </cell>
          <cell r="H1619" t="str">
            <v>Dağıtım-AG</v>
          </cell>
          <cell r="I1619" t="str">
            <v>Uzun</v>
          </cell>
          <cell r="J1619" t="str">
            <v>Şebeke işletmecisi</v>
          </cell>
          <cell r="K1619" t="str">
            <v>Bildirimsiz</v>
          </cell>
          <cell r="O1619">
            <v>0</v>
          </cell>
          <cell r="P1619">
            <v>0</v>
          </cell>
          <cell r="Q1619">
            <v>0</v>
          </cell>
          <cell r="R1619">
            <v>3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150.29999999329448</v>
          </cell>
          <cell r="Y1619">
            <v>0</v>
          </cell>
          <cell r="Z1619">
            <v>0</v>
          </cell>
        </row>
        <row r="1620">
          <cell r="C1620" t="str">
            <v>KIRKLARELİ</v>
          </cell>
          <cell r="D1620" t="str">
            <v>KIRKLARELİMERKEZ</v>
          </cell>
          <cell r="H1620" t="str">
            <v>Dağıtım-OG</v>
          </cell>
          <cell r="I1620" t="str">
            <v>Uzun</v>
          </cell>
          <cell r="J1620" t="str">
            <v>Şebeke işletmecisi</v>
          </cell>
          <cell r="K1620" t="str">
            <v>Bildirimsiz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8</v>
          </cell>
          <cell r="T1620">
            <v>76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400.66666661761701</v>
          </cell>
          <cell r="Z1620">
            <v>3806.3333328673616</v>
          </cell>
        </row>
        <row r="1621">
          <cell r="C1621" t="str">
            <v>KIRKLARELİ</v>
          </cell>
          <cell r="D1621" t="str">
            <v>KIRKLARELİMERKEZ</v>
          </cell>
          <cell r="H1621" t="str">
            <v>Dağıtım-AG</v>
          </cell>
          <cell r="I1621" t="str">
            <v>Uzun</v>
          </cell>
          <cell r="J1621" t="str">
            <v>Şebeke işletmecisi</v>
          </cell>
          <cell r="K1621" t="str">
            <v>Bildirimli</v>
          </cell>
          <cell r="O1621">
            <v>0</v>
          </cell>
          <cell r="P1621">
            <v>613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30701.083329574903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</row>
        <row r="1622">
          <cell r="C1622" t="str">
            <v>TEKİRDAĞ</v>
          </cell>
          <cell r="D1622" t="str">
            <v>ÇORLU</v>
          </cell>
          <cell r="H1622" t="str">
            <v>Dağıtım-AG</v>
          </cell>
          <cell r="I1622" t="str">
            <v>Uzun</v>
          </cell>
          <cell r="J1622" t="str">
            <v>Şebeke işletmecisi</v>
          </cell>
          <cell r="K1622" t="str">
            <v>Bildirimsiz</v>
          </cell>
          <cell r="O1622">
            <v>0</v>
          </cell>
          <cell r="P1622">
            <v>30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1502.0000000135042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</row>
        <row r="1623">
          <cell r="C1623" t="str">
            <v>TEKİRDAĞ</v>
          </cell>
          <cell r="D1623" t="str">
            <v>ŞARKÖY</v>
          </cell>
          <cell r="H1623" t="str">
            <v>Dağıtım-OG</v>
          </cell>
          <cell r="I1623" t="str">
            <v>Uzun</v>
          </cell>
          <cell r="J1623" t="str">
            <v>Şebeke işletmecisi</v>
          </cell>
          <cell r="K1623" t="str">
            <v>Bildirimsiz</v>
          </cell>
          <cell r="O1623">
            <v>0</v>
          </cell>
          <cell r="P1623">
            <v>10</v>
          </cell>
          <cell r="Q1623">
            <v>0</v>
          </cell>
          <cell r="R1623">
            <v>0</v>
          </cell>
          <cell r="S1623">
            <v>0</v>
          </cell>
          <cell r="T1623">
            <v>483</v>
          </cell>
          <cell r="U1623">
            <v>0</v>
          </cell>
          <cell r="V1623">
            <v>500.00000005820766</v>
          </cell>
          <cell r="W1623">
            <v>0</v>
          </cell>
          <cell r="X1623">
            <v>0</v>
          </cell>
          <cell r="Y1623">
            <v>0</v>
          </cell>
          <cell r="Z1623">
            <v>24150.00000281143</v>
          </cell>
        </row>
        <row r="1624">
          <cell r="C1624" t="str">
            <v>TEKİRDAĞ</v>
          </cell>
          <cell r="D1624" t="str">
            <v>ERGENE</v>
          </cell>
          <cell r="H1624" t="str">
            <v>Dağıtım-OG</v>
          </cell>
          <cell r="I1624" t="str">
            <v>Uzun</v>
          </cell>
          <cell r="J1624" t="str">
            <v>Şebeke işletmecisi</v>
          </cell>
          <cell r="K1624" t="str">
            <v>Bildirimli</v>
          </cell>
          <cell r="O1624">
            <v>22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1</v>
          </cell>
          <cell r="U1624">
            <v>1098.1666665966623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49.916666663484648</v>
          </cell>
        </row>
        <row r="1625">
          <cell r="C1625" t="str">
            <v>EDİRNE</v>
          </cell>
          <cell r="D1625" t="str">
            <v>HAVSA</v>
          </cell>
          <cell r="H1625" t="str">
            <v>Dağıtım-OG</v>
          </cell>
          <cell r="I1625" t="str">
            <v>Uzun</v>
          </cell>
          <cell r="J1625" t="str">
            <v>Şebeke işletmecisi</v>
          </cell>
          <cell r="K1625" t="str">
            <v>Bildirimsiz</v>
          </cell>
          <cell r="O1625">
            <v>0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149.64999999850988</v>
          </cell>
          <cell r="X1625">
            <v>0</v>
          </cell>
          <cell r="Y1625">
            <v>0</v>
          </cell>
          <cell r="Z1625">
            <v>0</v>
          </cell>
        </row>
        <row r="1626">
          <cell r="C1626" t="str">
            <v>KIRKLARELİ</v>
          </cell>
          <cell r="D1626" t="str">
            <v>KIRKLARELİMERKEZ</v>
          </cell>
          <cell r="H1626" t="str">
            <v>Dağıtım-OG</v>
          </cell>
          <cell r="I1626" t="str">
            <v>Uzun</v>
          </cell>
          <cell r="J1626" t="str">
            <v>Şebeke işletmecisi</v>
          </cell>
          <cell r="K1626" t="str">
            <v>Bildirimsiz</v>
          </cell>
          <cell r="O1626">
            <v>0</v>
          </cell>
          <cell r="P1626">
            <v>90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4489.4999999552965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</row>
        <row r="1627">
          <cell r="C1627" t="str">
            <v>TEKİRDAĞ</v>
          </cell>
          <cell r="D1627" t="str">
            <v>ERGENE</v>
          </cell>
          <cell r="H1627" t="str">
            <v>Dağıtım-OG</v>
          </cell>
          <cell r="I1627" t="str">
            <v>Uzun</v>
          </cell>
          <cell r="J1627" t="str">
            <v>Şebeke işletmecisi</v>
          </cell>
          <cell r="K1627" t="str">
            <v>Bildirimli</v>
          </cell>
          <cell r="O1627">
            <v>22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1</v>
          </cell>
          <cell r="U1627">
            <v>1097.4333333224058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49.883333332836628</v>
          </cell>
        </row>
        <row r="1628">
          <cell r="C1628" t="str">
            <v>TEKİRDAĞ</v>
          </cell>
          <cell r="D1628" t="str">
            <v>ÇERKEZKÖY</v>
          </cell>
          <cell r="H1628" t="str">
            <v>Dağıtım-OG</v>
          </cell>
          <cell r="I1628" t="str">
            <v>Uzun</v>
          </cell>
          <cell r="J1628" t="str">
            <v>Şebeke işletmecisi</v>
          </cell>
          <cell r="K1628" t="str">
            <v>Bildirimli</v>
          </cell>
          <cell r="O1628">
            <v>0</v>
          </cell>
          <cell r="P1628">
            <v>659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32873.116666339338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</row>
        <row r="1629">
          <cell r="C1629" t="str">
            <v>KIRKLARELİ</v>
          </cell>
          <cell r="D1629" t="str">
            <v>BABAESKİ</v>
          </cell>
          <cell r="H1629" t="str">
            <v>Dağıtım-OG</v>
          </cell>
          <cell r="I1629" t="str">
            <v>Uzun</v>
          </cell>
          <cell r="J1629" t="str">
            <v>Şebeke işletmecisi</v>
          </cell>
          <cell r="K1629" t="str">
            <v>Bildirimsiz</v>
          </cell>
          <cell r="O1629">
            <v>0</v>
          </cell>
          <cell r="P1629">
            <v>2</v>
          </cell>
          <cell r="Q1629">
            <v>0</v>
          </cell>
          <cell r="R1629">
            <v>0</v>
          </cell>
          <cell r="S1629">
            <v>2</v>
          </cell>
          <cell r="T1629">
            <v>601</v>
          </cell>
          <cell r="U1629">
            <v>0</v>
          </cell>
          <cell r="V1629">
            <v>99.733333324547857</v>
          </cell>
          <cell r="W1629">
            <v>0</v>
          </cell>
          <cell r="X1629">
            <v>0</v>
          </cell>
          <cell r="Y1629">
            <v>99.733333324547857</v>
          </cell>
          <cell r="Z1629">
            <v>29969.866664026631</v>
          </cell>
        </row>
        <row r="1630">
          <cell r="C1630" t="str">
            <v>TEKİRDAĞ</v>
          </cell>
          <cell r="D1630" t="str">
            <v>ÇERKEZKÖY</v>
          </cell>
          <cell r="H1630" t="str">
            <v>Dağıtım-OG</v>
          </cell>
          <cell r="I1630" t="str">
            <v>Uzun</v>
          </cell>
          <cell r="J1630" t="str">
            <v>Şebeke işletmecisi</v>
          </cell>
          <cell r="K1630" t="str">
            <v>Bildirimli</v>
          </cell>
          <cell r="O1630">
            <v>7</v>
          </cell>
          <cell r="P1630">
            <v>4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348.95000001532026</v>
          </cell>
          <cell r="V1630">
            <v>199.40000000875443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</row>
        <row r="1631">
          <cell r="C1631" t="str">
            <v>KIRKLARELİ</v>
          </cell>
          <cell r="D1631" t="str">
            <v>PINARHİSAR</v>
          </cell>
          <cell r="H1631" t="str">
            <v>Dağıtım-AG</v>
          </cell>
          <cell r="I1631" t="str">
            <v>Uzun</v>
          </cell>
          <cell r="J1631" t="str">
            <v>Şebeke işletmecisi</v>
          </cell>
          <cell r="K1631" t="str">
            <v>Bildirimsiz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106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5266.4333338779397</v>
          </cell>
        </row>
        <row r="1632">
          <cell r="C1632" t="str">
            <v>TEKİRDAĞ</v>
          </cell>
          <cell r="D1632" t="str">
            <v>KAPAKLI</v>
          </cell>
          <cell r="H1632" t="str">
            <v>Dağıtım-AG</v>
          </cell>
          <cell r="I1632" t="str">
            <v>Uzun</v>
          </cell>
          <cell r="J1632" t="str">
            <v>Şebeke işletmecisi</v>
          </cell>
          <cell r="K1632" t="str">
            <v>Bildirimsiz</v>
          </cell>
          <cell r="O1632">
            <v>0</v>
          </cell>
          <cell r="P1632">
            <v>5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248.24999998672865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</row>
        <row r="1633">
          <cell r="C1633" t="str">
            <v>TEKİRDAĞ</v>
          </cell>
          <cell r="D1633" t="str">
            <v>KAPAKLI</v>
          </cell>
          <cell r="H1633" t="str">
            <v>Dağıtım-AG</v>
          </cell>
          <cell r="I1633" t="str">
            <v>Uzun</v>
          </cell>
          <cell r="J1633" t="str">
            <v>Şebeke işletmecisi</v>
          </cell>
          <cell r="K1633" t="str">
            <v>Bildirimsiz</v>
          </cell>
          <cell r="O1633">
            <v>0</v>
          </cell>
          <cell r="P1633">
            <v>676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33540.866666687652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</row>
        <row r="1634">
          <cell r="C1634" t="str">
            <v>TEKİRDAĞ</v>
          </cell>
          <cell r="D1634" t="str">
            <v>ÇORLU</v>
          </cell>
          <cell r="H1634" t="str">
            <v>Dağıtım-OG</v>
          </cell>
          <cell r="I1634" t="str">
            <v>Uzun</v>
          </cell>
          <cell r="J1634" t="str">
            <v>Şebeke işletmecisi</v>
          </cell>
          <cell r="K1634" t="str">
            <v>Bildirimli</v>
          </cell>
          <cell r="O1634">
            <v>0</v>
          </cell>
          <cell r="P1634">
            <v>5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247.99999998067506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</row>
        <row r="1635">
          <cell r="C1635" t="str">
            <v>EDİRNE</v>
          </cell>
          <cell r="D1635" t="str">
            <v>UZUNKÖPRÜ</v>
          </cell>
          <cell r="H1635" t="str">
            <v>Dağıtım-AG</v>
          </cell>
          <cell r="I1635" t="str">
            <v>Uzun</v>
          </cell>
          <cell r="J1635" t="str">
            <v>Şebeke işletmecisi</v>
          </cell>
          <cell r="K1635" t="str">
            <v>Bildirimsiz</v>
          </cell>
          <cell r="O1635">
            <v>0</v>
          </cell>
          <cell r="P1635">
            <v>1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49.566666665486991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</row>
        <row r="1636">
          <cell r="C1636" t="str">
            <v>TEKİRDAĞ</v>
          </cell>
          <cell r="D1636" t="str">
            <v>ŞARKÖY</v>
          </cell>
          <cell r="H1636" t="str">
            <v>Dağıtım-OG</v>
          </cell>
          <cell r="I1636" t="str">
            <v>Uzun</v>
          </cell>
          <cell r="J1636" t="str">
            <v>Şebeke işletmecisi</v>
          </cell>
          <cell r="K1636" t="str">
            <v>Bildirimsiz</v>
          </cell>
          <cell r="O1636">
            <v>0</v>
          </cell>
          <cell r="P1636">
            <v>10</v>
          </cell>
          <cell r="Q1636">
            <v>0</v>
          </cell>
          <cell r="R1636">
            <v>0</v>
          </cell>
          <cell r="S1636">
            <v>0</v>
          </cell>
          <cell r="T1636">
            <v>483</v>
          </cell>
          <cell r="U1636">
            <v>0</v>
          </cell>
          <cell r="V1636">
            <v>495.33333334838971</v>
          </cell>
          <cell r="W1636">
            <v>0</v>
          </cell>
          <cell r="X1636">
            <v>0</v>
          </cell>
          <cell r="Y1636">
            <v>0</v>
          </cell>
          <cell r="Z1636">
            <v>23924.600000727223</v>
          </cell>
        </row>
        <row r="1637">
          <cell r="C1637" t="str">
            <v>TEKİRDAĞ</v>
          </cell>
          <cell r="D1637" t="str">
            <v>ÇORLU</v>
          </cell>
          <cell r="H1637" t="str">
            <v>Dağıtım-OG</v>
          </cell>
          <cell r="I1637" t="str">
            <v>Uzun</v>
          </cell>
          <cell r="J1637" t="str">
            <v>Şebeke İşletmecisi</v>
          </cell>
          <cell r="K1637" t="str">
            <v>Bildirimsiz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2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98.866666664835066</v>
          </cell>
          <cell r="Z1637">
            <v>0</v>
          </cell>
        </row>
        <row r="1638">
          <cell r="C1638" t="str">
            <v>KIRKLARELİ</v>
          </cell>
          <cell r="D1638" t="str">
            <v>KIRKLARELİMERKEZ</v>
          </cell>
          <cell r="H1638" t="str">
            <v>Dağıtım-OG</v>
          </cell>
          <cell r="I1638" t="str">
            <v>Uzun</v>
          </cell>
          <cell r="J1638" t="str">
            <v>Şebeke işletmecisi</v>
          </cell>
          <cell r="K1638" t="str">
            <v>Bildirimsiz</v>
          </cell>
          <cell r="O1638">
            <v>0</v>
          </cell>
          <cell r="P1638">
            <v>684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33801.000003875233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</row>
        <row r="1639">
          <cell r="C1639" t="str">
            <v>TEKİRDAĞ</v>
          </cell>
          <cell r="D1639" t="str">
            <v>ERGENE</v>
          </cell>
          <cell r="H1639" t="str">
            <v>Dağıtım-OG</v>
          </cell>
          <cell r="I1639" t="str">
            <v>Uzun</v>
          </cell>
          <cell r="J1639" t="str">
            <v>Şebeke işletmecisi</v>
          </cell>
          <cell r="K1639" t="str">
            <v>Bildirimsiz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12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592.80000002123415</v>
          </cell>
        </row>
        <row r="1640">
          <cell r="C1640" t="str">
            <v>EDİRNE</v>
          </cell>
          <cell r="D1640" t="str">
            <v>EDİRNEMERKEZ</v>
          </cell>
          <cell r="H1640" t="str">
            <v>Dağıtım-OG</v>
          </cell>
          <cell r="I1640" t="str">
            <v>Uzun</v>
          </cell>
          <cell r="J1640" t="str">
            <v>Şebeke işletmecisi</v>
          </cell>
          <cell r="K1640" t="str">
            <v>Bildirimsiz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2</v>
          </cell>
          <cell r="T1640">
            <v>299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98.800000003539026</v>
          </cell>
          <cell r="Z1640">
            <v>14770.600000529084</v>
          </cell>
        </row>
        <row r="1641">
          <cell r="C1641" t="str">
            <v>EDİRNE</v>
          </cell>
          <cell r="D1641" t="str">
            <v>KEŞAN</v>
          </cell>
          <cell r="H1641" t="str">
            <v>Dağıtım-AG</v>
          </cell>
          <cell r="I1641" t="str">
            <v>Uzun</v>
          </cell>
          <cell r="J1641" t="str">
            <v>Şebeke işletmecisi</v>
          </cell>
          <cell r="K1641" t="str">
            <v>Bildirimsiz</v>
          </cell>
          <cell r="O1641">
            <v>0</v>
          </cell>
          <cell r="P1641">
            <v>72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3554.3999995663762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</row>
        <row r="1642">
          <cell r="C1642" t="str">
            <v>TEKİRDAĞ</v>
          </cell>
          <cell r="D1642" t="str">
            <v>ÇORLU</v>
          </cell>
          <cell r="H1642" t="str">
            <v>Dağıtım-OG</v>
          </cell>
          <cell r="I1642" t="str">
            <v>Uzun</v>
          </cell>
          <cell r="J1642" t="str">
            <v>Şebeke işletmecisi</v>
          </cell>
          <cell r="K1642" t="str">
            <v>Bildirimli</v>
          </cell>
          <cell r="O1642">
            <v>4</v>
          </cell>
          <cell r="P1642">
            <v>1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197.13333335705101</v>
          </cell>
          <cell r="V1642">
            <v>49.283333339262754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</row>
        <row r="1643">
          <cell r="C1643" t="str">
            <v>KIRKLARELİ</v>
          </cell>
          <cell r="D1643" t="str">
            <v>BABAESKİ</v>
          </cell>
          <cell r="H1643" t="str">
            <v>Dağıtım-OG</v>
          </cell>
          <cell r="I1643" t="str">
            <v>Uzun</v>
          </cell>
          <cell r="J1643" t="str">
            <v>Şebeke işletmecisi</v>
          </cell>
          <cell r="K1643" t="str">
            <v>Bildirimsiz</v>
          </cell>
          <cell r="O1643">
            <v>0</v>
          </cell>
          <cell r="P1643">
            <v>1</v>
          </cell>
          <cell r="Q1643">
            <v>8</v>
          </cell>
          <cell r="R1643">
            <v>1431</v>
          </cell>
          <cell r="S1643">
            <v>4</v>
          </cell>
          <cell r="T1643">
            <v>459</v>
          </cell>
          <cell r="U1643">
            <v>0</v>
          </cell>
          <cell r="V1643">
            <v>49.183333326363936</v>
          </cell>
          <cell r="W1643">
            <v>393.46666661091149</v>
          </cell>
          <cell r="X1643">
            <v>70381.349990026793</v>
          </cell>
          <cell r="Y1643">
            <v>196.73333330545574</v>
          </cell>
          <cell r="Z1643">
            <v>22575.149996801047</v>
          </cell>
        </row>
        <row r="1644">
          <cell r="C1644" t="str">
            <v>TEKİRDAĞ</v>
          </cell>
          <cell r="D1644" t="str">
            <v>MARMARAEREĞLİSİ</v>
          </cell>
          <cell r="H1644" t="str">
            <v>Dağıtım-AG</v>
          </cell>
          <cell r="I1644" t="str">
            <v>Uzun</v>
          </cell>
          <cell r="J1644" t="str">
            <v>Şebeke işletmecisi</v>
          </cell>
          <cell r="K1644" t="str">
            <v>Bildirimsiz</v>
          </cell>
          <cell r="O1644">
            <v>0</v>
          </cell>
          <cell r="P1644">
            <v>76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3737.9333328036591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</row>
        <row r="1645">
          <cell r="C1645" t="str">
            <v>TEKİRDAĞ</v>
          </cell>
          <cell r="D1645" t="str">
            <v>SÜLEYMANPAŞA</v>
          </cell>
          <cell r="H1645" t="str">
            <v>Dağıtım-AG</v>
          </cell>
          <cell r="I1645" t="str">
            <v>Uzun</v>
          </cell>
          <cell r="J1645" t="str">
            <v>Şebeke işletmecisi</v>
          </cell>
          <cell r="K1645" t="str">
            <v>Bildirimsiz</v>
          </cell>
          <cell r="O1645">
            <v>0</v>
          </cell>
          <cell r="P1645">
            <v>52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2549.7333333268762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</row>
        <row r="1646">
          <cell r="C1646" t="str">
            <v>KIRKLARELİ</v>
          </cell>
          <cell r="D1646" t="str">
            <v>DEMİRKÖY</v>
          </cell>
          <cell r="H1646" t="str">
            <v>Dağıtım-AG</v>
          </cell>
          <cell r="I1646" t="str">
            <v>Uzun</v>
          </cell>
          <cell r="J1646" t="str">
            <v>Şebeke işletmecisi</v>
          </cell>
          <cell r="K1646" t="str">
            <v>Bildirimsiz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9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440.84999998798594</v>
          </cell>
        </row>
        <row r="1647">
          <cell r="C1647" t="str">
            <v>TEKİRDAĞ</v>
          </cell>
          <cell r="D1647" t="str">
            <v>ERGENE</v>
          </cell>
          <cell r="H1647" t="str">
            <v>Dağıtım-AG</v>
          </cell>
          <cell r="I1647" t="str">
            <v>Uzun</v>
          </cell>
          <cell r="J1647" t="str">
            <v>Şebeke işletmecisi</v>
          </cell>
          <cell r="K1647" t="str">
            <v>Bildirimsiz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101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4943.9500001363922</v>
          </cell>
        </row>
        <row r="1648">
          <cell r="C1648" t="str">
            <v>EDİRNE</v>
          </cell>
          <cell r="D1648" t="str">
            <v>UZUNKÖPRÜ</v>
          </cell>
          <cell r="H1648" t="str">
            <v>Dağıtım-OG</v>
          </cell>
          <cell r="I1648" t="str">
            <v>Uzun</v>
          </cell>
          <cell r="J1648" t="str">
            <v>Şebeke İşletmecisi</v>
          </cell>
          <cell r="K1648" t="str">
            <v>Bildirimsiz</v>
          </cell>
          <cell r="O1648">
            <v>12</v>
          </cell>
          <cell r="P1648">
            <v>0</v>
          </cell>
          <cell r="Q1648">
            <v>0</v>
          </cell>
          <cell r="R1648">
            <v>0</v>
          </cell>
          <cell r="S1648">
            <v>34</v>
          </cell>
          <cell r="T1648">
            <v>303</v>
          </cell>
          <cell r="U1648">
            <v>587.39999989047647</v>
          </cell>
          <cell r="V1648">
            <v>0</v>
          </cell>
          <cell r="W1648">
            <v>0</v>
          </cell>
          <cell r="X1648">
            <v>0</v>
          </cell>
          <cell r="Y1648">
            <v>1664.2999996896833</v>
          </cell>
          <cell r="Z1648">
            <v>14831.849997234531</v>
          </cell>
        </row>
        <row r="1649">
          <cell r="C1649" t="str">
            <v>EDİRNE</v>
          </cell>
          <cell r="D1649" t="str">
            <v>HAVSA</v>
          </cell>
          <cell r="H1649" t="str">
            <v>Dağıtım-AG</v>
          </cell>
          <cell r="I1649" t="str">
            <v>Uzun</v>
          </cell>
          <cell r="J1649" t="str">
            <v>Şebeke işletmecisi</v>
          </cell>
          <cell r="K1649" t="str">
            <v>Bildirimsiz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95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4647.0833337167278</v>
          </cell>
        </row>
        <row r="1650">
          <cell r="C1650" t="str">
            <v>TEKİRDAĞ</v>
          </cell>
          <cell r="D1650" t="str">
            <v>SÜLEYMANPAŞA</v>
          </cell>
          <cell r="H1650" t="str">
            <v>Dağıtım-AG</v>
          </cell>
          <cell r="I1650" t="str">
            <v>Uzun</v>
          </cell>
          <cell r="J1650" t="str">
            <v>Şebeke işletmecisi</v>
          </cell>
          <cell r="K1650" t="str">
            <v>Bildirimsiz</v>
          </cell>
          <cell r="O1650">
            <v>0</v>
          </cell>
          <cell r="P1650">
            <v>67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3275.1833330816589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</row>
        <row r="1651">
          <cell r="C1651" t="str">
            <v>TEKİRDAĞ</v>
          </cell>
          <cell r="D1651" t="str">
            <v>ÇORLU</v>
          </cell>
          <cell r="H1651" t="str">
            <v>Dağıtım-OG</v>
          </cell>
          <cell r="I1651" t="str">
            <v>Uzun</v>
          </cell>
          <cell r="J1651" t="str">
            <v>Şebeke işletmecisi</v>
          </cell>
          <cell r="K1651" t="str">
            <v>Bildirimsiz</v>
          </cell>
          <cell r="O1651">
            <v>13</v>
          </cell>
          <cell r="P1651">
            <v>1241</v>
          </cell>
          <cell r="Q1651">
            <v>0</v>
          </cell>
          <cell r="R1651">
            <v>0</v>
          </cell>
          <cell r="S1651">
            <v>0</v>
          </cell>
          <cell r="T1651">
            <v>5</v>
          </cell>
          <cell r="U1651">
            <v>634.18333325302228</v>
          </cell>
          <cell r="V1651">
            <v>60540.11665900005</v>
          </cell>
          <cell r="W1651">
            <v>0</v>
          </cell>
          <cell r="X1651">
            <v>0</v>
          </cell>
          <cell r="Y1651">
            <v>0</v>
          </cell>
          <cell r="Z1651">
            <v>243.9166666357778</v>
          </cell>
        </row>
        <row r="1652">
          <cell r="C1652" t="str">
            <v>KIRKLARELİ</v>
          </cell>
          <cell r="D1652" t="str">
            <v>LÜLEBURGAZ</v>
          </cell>
          <cell r="H1652" t="str">
            <v>Dağıtım-AG</v>
          </cell>
          <cell r="I1652" t="str">
            <v>Uzun</v>
          </cell>
          <cell r="J1652" t="str">
            <v>Şebeke işletmecisi</v>
          </cell>
          <cell r="K1652" t="str">
            <v>Bildirimsiz</v>
          </cell>
          <cell r="O1652">
            <v>0</v>
          </cell>
          <cell r="P1652">
            <v>26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1267.499999909196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</row>
        <row r="1653">
          <cell r="C1653" t="str">
            <v>KIRKLARELİ</v>
          </cell>
          <cell r="D1653" t="str">
            <v>VİZE</v>
          </cell>
          <cell r="H1653" t="str">
            <v>Dağıtım-OG</v>
          </cell>
          <cell r="I1653" t="str">
            <v>Uzun</v>
          </cell>
          <cell r="J1653" t="str">
            <v>Şebeke işletmecisi</v>
          </cell>
          <cell r="K1653" t="str">
            <v>Bildirimsiz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18</v>
          </cell>
          <cell r="T1653">
            <v>501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877.49999993713573</v>
          </cell>
          <cell r="Z1653">
            <v>24423.749998250278</v>
          </cell>
        </row>
        <row r="1654">
          <cell r="C1654" t="str">
            <v>TEKİRDAĞ</v>
          </cell>
          <cell r="D1654" t="str">
            <v>SÜLEYMANPAŞA</v>
          </cell>
          <cell r="H1654" t="str">
            <v>Dağıtım-AG</v>
          </cell>
          <cell r="I1654" t="str">
            <v>Uzun</v>
          </cell>
          <cell r="J1654" t="str">
            <v>Şebeke işletmecisi</v>
          </cell>
          <cell r="K1654" t="str">
            <v>Bildirimsiz</v>
          </cell>
          <cell r="O1654">
            <v>0</v>
          </cell>
          <cell r="P1654">
            <v>18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877.19999986700714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</row>
        <row r="1655">
          <cell r="C1655" t="str">
            <v>EDİRNE</v>
          </cell>
          <cell r="D1655" t="str">
            <v>EDİRNEMERKEZ</v>
          </cell>
          <cell r="H1655" t="str">
            <v>Dağıtım-AG</v>
          </cell>
          <cell r="I1655" t="str">
            <v>Uzun</v>
          </cell>
          <cell r="J1655" t="str">
            <v>Şebeke işletmecisi</v>
          </cell>
          <cell r="K1655" t="str">
            <v>Bildirimsiz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30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1455.9999999473803</v>
          </cell>
        </row>
        <row r="1656">
          <cell r="C1656" t="str">
            <v>EDİRNE</v>
          </cell>
          <cell r="D1656" t="str">
            <v>UZUNKÖPRÜ</v>
          </cell>
          <cell r="H1656" t="str">
            <v>Dağıtım-AG</v>
          </cell>
          <cell r="I1656" t="str">
            <v>Uzun</v>
          </cell>
          <cell r="J1656" t="str">
            <v>Şebeke işletmecisi</v>
          </cell>
          <cell r="K1656" t="str">
            <v>Bildirimsiz</v>
          </cell>
          <cell r="O1656">
            <v>0</v>
          </cell>
          <cell r="P1656">
            <v>156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7571.1999997263774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</row>
        <row r="1657">
          <cell r="C1657" t="str">
            <v>KIRKLARELİ</v>
          </cell>
          <cell r="D1657" t="str">
            <v>DEMİRKÖY</v>
          </cell>
          <cell r="H1657" t="str">
            <v>Dağıtım-OG</v>
          </cell>
          <cell r="I1657" t="str">
            <v>Uzun</v>
          </cell>
          <cell r="J1657" t="str">
            <v>Şebeke işletmecisi</v>
          </cell>
          <cell r="K1657" t="str">
            <v>Bildirimsiz</v>
          </cell>
          <cell r="O1657">
            <v>0</v>
          </cell>
          <cell r="P1657">
            <v>0</v>
          </cell>
          <cell r="Q1657">
            <v>3</v>
          </cell>
          <cell r="R1657">
            <v>166</v>
          </cell>
          <cell r="S1657">
            <v>8</v>
          </cell>
          <cell r="T1657">
            <v>236</v>
          </cell>
          <cell r="U1657">
            <v>0</v>
          </cell>
          <cell r="V1657">
            <v>0</v>
          </cell>
          <cell r="W1657">
            <v>145.40000001084991</v>
          </cell>
          <cell r="X1657">
            <v>8045.4666672670282</v>
          </cell>
          <cell r="Y1657">
            <v>387.73333336226642</v>
          </cell>
          <cell r="Z1657">
            <v>11438.133334186859</v>
          </cell>
        </row>
        <row r="1658">
          <cell r="C1658" t="str">
            <v>KIRKLARELİ</v>
          </cell>
          <cell r="D1658" t="str">
            <v>VİZE</v>
          </cell>
          <cell r="H1658" t="str">
            <v>Dağıtım-OG</v>
          </cell>
          <cell r="I1658" t="str">
            <v>Uzun</v>
          </cell>
          <cell r="J1658" t="str">
            <v>Şebeke İşletmecisi</v>
          </cell>
          <cell r="K1658" t="str">
            <v>Bildirimsiz</v>
          </cell>
          <cell r="O1658">
            <v>0</v>
          </cell>
          <cell r="P1658">
            <v>0</v>
          </cell>
          <cell r="Q1658">
            <v>1</v>
          </cell>
          <cell r="R1658">
            <v>0</v>
          </cell>
          <cell r="S1658">
            <v>23</v>
          </cell>
          <cell r="T1658">
            <v>1323</v>
          </cell>
          <cell r="U1658">
            <v>0</v>
          </cell>
          <cell r="V1658">
            <v>0</v>
          </cell>
          <cell r="W1658">
            <v>48.433333339635283</v>
          </cell>
          <cell r="X1658">
            <v>0</v>
          </cell>
          <cell r="Y1658">
            <v>1113.9666668116115</v>
          </cell>
          <cell r="Z1658">
            <v>64077.300008337479</v>
          </cell>
        </row>
        <row r="1659">
          <cell r="C1659" t="str">
            <v>TEKİRDAĞ</v>
          </cell>
          <cell r="D1659" t="str">
            <v>SARAY</v>
          </cell>
          <cell r="H1659" t="str">
            <v>Dağıtım-AG</v>
          </cell>
          <cell r="I1659" t="str">
            <v>Uzun</v>
          </cell>
          <cell r="J1659" t="str">
            <v>Şebeke işletmecisi</v>
          </cell>
          <cell r="K1659" t="str">
            <v>Bildirimsiz</v>
          </cell>
          <cell r="O1659">
            <v>0</v>
          </cell>
          <cell r="P1659">
            <v>0</v>
          </cell>
          <cell r="Q1659">
            <v>0</v>
          </cell>
          <cell r="R1659">
            <v>4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193.73333331663162</v>
          </cell>
          <cell r="Y1659">
            <v>0</v>
          </cell>
          <cell r="Z1659">
            <v>0</v>
          </cell>
        </row>
        <row r="1660">
          <cell r="C1660" t="str">
            <v>EDİRNE</v>
          </cell>
          <cell r="D1660" t="str">
            <v>ENEZ</v>
          </cell>
          <cell r="H1660" t="str">
            <v>Dağıtım-OG</v>
          </cell>
          <cell r="I1660" t="str">
            <v>Uzun</v>
          </cell>
          <cell r="J1660" t="str">
            <v>Şebeke işletmecisi</v>
          </cell>
          <cell r="K1660" t="str">
            <v>Bildirimsiz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2</v>
          </cell>
          <cell r="T1660">
            <v>587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96.633333333302289</v>
          </cell>
          <cell r="Z1660">
            <v>28361.883333324222</v>
          </cell>
        </row>
        <row r="1661">
          <cell r="C1661" t="str">
            <v>KIRKLARELİ</v>
          </cell>
          <cell r="D1661" t="str">
            <v>DEMİRKÖY</v>
          </cell>
          <cell r="H1661" t="str">
            <v>Dağıtım-AG</v>
          </cell>
          <cell r="I1661" t="str">
            <v>Uzun</v>
          </cell>
          <cell r="J1661" t="str">
            <v>Şebeke işletmecisi</v>
          </cell>
          <cell r="K1661" t="str">
            <v>Bildirimsiz</v>
          </cell>
          <cell r="O1661">
            <v>0</v>
          </cell>
          <cell r="P1661">
            <v>0</v>
          </cell>
          <cell r="Q1661">
            <v>0</v>
          </cell>
          <cell r="R1661">
            <v>50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2414.9999998044223</v>
          </cell>
          <cell r="Y1661">
            <v>0</v>
          </cell>
          <cell r="Z1661">
            <v>0</v>
          </cell>
        </row>
        <row r="1662">
          <cell r="C1662" t="str">
            <v>KIRKLARELİ</v>
          </cell>
          <cell r="D1662" t="str">
            <v>BABAESKİ</v>
          </cell>
          <cell r="H1662" t="str">
            <v>Dağıtım-AG</v>
          </cell>
          <cell r="I1662" t="str">
            <v>Uzun</v>
          </cell>
          <cell r="J1662" t="str">
            <v>Şebeke işletmecisi</v>
          </cell>
          <cell r="K1662" t="str">
            <v>Bildirimsiz</v>
          </cell>
          <cell r="O1662">
            <v>0</v>
          </cell>
          <cell r="P1662">
            <v>89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4294.2500004766043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</row>
        <row r="1663">
          <cell r="C1663" t="str">
            <v>EDİRNE</v>
          </cell>
          <cell r="D1663" t="str">
            <v>EDİRNEMERKEZ</v>
          </cell>
          <cell r="H1663" t="str">
            <v>Dağıtım-AG</v>
          </cell>
          <cell r="I1663" t="str">
            <v>Uzun</v>
          </cell>
          <cell r="J1663" t="str">
            <v>Şebeke işletmecisi</v>
          </cell>
          <cell r="K1663" t="str">
            <v>Bildirimsiz</v>
          </cell>
          <cell r="O1663">
            <v>0</v>
          </cell>
          <cell r="P1663">
            <v>13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627.24999993341044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</row>
        <row r="1664">
          <cell r="C1664" t="str">
            <v>EDİRNE</v>
          </cell>
          <cell r="D1664" t="str">
            <v>ENEZ</v>
          </cell>
          <cell r="H1664" t="str">
            <v>Dağıtım-AG</v>
          </cell>
          <cell r="I1664" t="str">
            <v>Uzun</v>
          </cell>
          <cell r="J1664" t="str">
            <v>Şebeke işletmecisi</v>
          </cell>
          <cell r="K1664" t="str">
            <v>Bildirimsiz</v>
          </cell>
          <cell r="O1664">
            <v>0</v>
          </cell>
          <cell r="P1664">
            <v>0</v>
          </cell>
          <cell r="Q1664">
            <v>0</v>
          </cell>
          <cell r="R1664">
            <v>107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5148.4833339345641</v>
          </cell>
          <cell r="Y1664">
            <v>0</v>
          </cell>
          <cell r="Z1664">
            <v>0</v>
          </cell>
        </row>
        <row r="1665">
          <cell r="C1665" t="str">
            <v>TEKİRDAĞ</v>
          </cell>
          <cell r="D1665" t="str">
            <v>MALKARA</v>
          </cell>
          <cell r="H1665" t="str">
            <v>Dağıtım-AG</v>
          </cell>
          <cell r="I1665" t="str">
            <v>Uzun</v>
          </cell>
          <cell r="J1665" t="str">
            <v>Şebeke işletmecisi</v>
          </cell>
          <cell r="K1665" t="str">
            <v>Bildirimsiz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6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288.60000001033768</v>
          </cell>
        </row>
        <row r="1666">
          <cell r="C1666" t="str">
            <v>EDİRNE</v>
          </cell>
          <cell r="D1666" t="str">
            <v>KEŞAN</v>
          </cell>
          <cell r="H1666" t="str">
            <v>Dağıtım-OG</v>
          </cell>
          <cell r="I1666" t="str">
            <v>Uzun</v>
          </cell>
          <cell r="J1666" t="str">
            <v>Şebeke işletmecisi</v>
          </cell>
          <cell r="K1666" t="str">
            <v>Bildirimsiz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1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48.083333331160247</v>
          </cell>
          <cell r="Z1666">
            <v>0</v>
          </cell>
        </row>
        <row r="1667">
          <cell r="C1667" t="str">
            <v>KIRKLARELİ</v>
          </cell>
          <cell r="D1667" t="str">
            <v>VİZE</v>
          </cell>
          <cell r="H1667" t="str">
            <v>Dağıtım-OG</v>
          </cell>
          <cell r="I1667" t="str">
            <v>Uzun</v>
          </cell>
          <cell r="J1667" t="str">
            <v>Şebeke işletmecisi</v>
          </cell>
          <cell r="K1667" t="str">
            <v>Bildirimsiz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2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96.100000001024455</v>
          </cell>
          <cell r="Z1667">
            <v>0</v>
          </cell>
        </row>
        <row r="1668">
          <cell r="C1668" t="str">
            <v>KIRKLARELİ</v>
          </cell>
          <cell r="D1668" t="str">
            <v>VİZE</v>
          </cell>
          <cell r="H1668" t="str">
            <v>Dağıtım-OG</v>
          </cell>
          <cell r="I1668" t="str">
            <v>Uzun</v>
          </cell>
          <cell r="J1668" t="str">
            <v>Şebeke işletmecisi</v>
          </cell>
          <cell r="K1668" t="str">
            <v>Bildirimsiz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1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48.016666659386829</v>
          </cell>
          <cell r="Z1668">
            <v>0</v>
          </cell>
        </row>
        <row r="1669">
          <cell r="C1669" t="str">
            <v>TEKİRDAĞ</v>
          </cell>
          <cell r="D1669" t="str">
            <v>HAYRABOLU</v>
          </cell>
          <cell r="H1669" t="str">
            <v>Dağıtım-OG</v>
          </cell>
          <cell r="I1669" t="str">
            <v>Uzun</v>
          </cell>
          <cell r="J1669" t="str">
            <v>Şebeke işletmecisi</v>
          </cell>
          <cell r="K1669" t="str">
            <v>Bildirimsiz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2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95.999999998603016</v>
          </cell>
          <cell r="Z1669">
            <v>0</v>
          </cell>
        </row>
        <row r="1670">
          <cell r="C1670" t="str">
            <v>EDİRNE</v>
          </cell>
          <cell r="D1670" t="str">
            <v>UZUNKÖPRÜ</v>
          </cell>
          <cell r="H1670" t="str">
            <v>Dağıtım-OG</v>
          </cell>
          <cell r="I1670" t="str">
            <v>Uzun</v>
          </cell>
          <cell r="J1670" t="str">
            <v>Şebeke işletmecisi</v>
          </cell>
          <cell r="K1670" t="str">
            <v>Bildirimsiz</v>
          </cell>
          <cell r="O1670">
            <v>4</v>
          </cell>
          <cell r="P1670">
            <v>1</v>
          </cell>
          <cell r="Q1670">
            <v>1</v>
          </cell>
          <cell r="R1670">
            <v>0</v>
          </cell>
          <cell r="S1670">
            <v>0</v>
          </cell>
          <cell r="T1670">
            <v>0</v>
          </cell>
          <cell r="U1670">
            <v>191.80000003427267</v>
          </cell>
          <cell r="V1670">
            <v>47.950000008568168</v>
          </cell>
          <cell r="W1670">
            <v>47.950000008568168</v>
          </cell>
          <cell r="X1670">
            <v>0</v>
          </cell>
          <cell r="Y1670">
            <v>0</v>
          </cell>
          <cell r="Z1670">
            <v>0</v>
          </cell>
        </row>
        <row r="1671">
          <cell r="C1671" t="str">
            <v>KIRKLARELİ</v>
          </cell>
          <cell r="D1671" t="str">
            <v>KIRKLARELİMERKEZ</v>
          </cell>
          <cell r="H1671" t="str">
            <v>Dağıtım-OG</v>
          </cell>
          <cell r="I1671" t="str">
            <v>Uzun</v>
          </cell>
          <cell r="J1671" t="str">
            <v>Şebeke işletmecisi</v>
          </cell>
          <cell r="K1671" t="str">
            <v>Bildirimsiz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2</v>
          </cell>
          <cell r="T1671">
            <v>296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95.833333334885538</v>
          </cell>
          <cell r="Z1671">
            <v>14183.33333356306</v>
          </cell>
        </row>
        <row r="1672">
          <cell r="C1672" t="str">
            <v>EDİRNE</v>
          </cell>
          <cell r="D1672" t="str">
            <v>MERİÇ</v>
          </cell>
          <cell r="H1672" t="str">
            <v>Dağıtım-AG</v>
          </cell>
          <cell r="I1672" t="str">
            <v>Uzun</v>
          </cell>
          <cell r="J1672" t="str">
            <v>Şebeke işletmecisi</v>
          </cell>
          <cell r="K1672" t="str">
            <v>Bildirimsiz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78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3727.1000000811182</v>
          </cell>
        </row>
        <row r="1673">
          <cell r="C1673" t="str">
            <v>KIRKLARELİ</v>
          </cell>
          <cell r="D1673" t="str">
            <v>VİZE</v>
          </cell>
          <cell r="H1673" t="str">
            <v>Dağıtım-OG</v>
          </cell>
          <cell r="I1673" t="str">
            <v>Uzun</v>
          </cell>
          <cell r="J1673" t="str">
            <v>Şebeke işletmecisi</v>
          </cell>
          <cell r="K1673" t="str">
            <v>Bildirimsiz</v>
          </cell>
          <cell r="O1673">
            <v>0</v>
          </cell>
          <cell r="P1673">
            <v>0</v>
          </cell>
          <cell r="Q1673">
            <v>1</v>
          </cell>
          <cell r="R1673">
            <v>660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47.78333333437331</v>
          </cell>
          <cell r="X1673">
            <v>31537.000000686385</v>
          </cell>
          <cell r="Y1673">
            <v>0</v>
          </cell>
          <cell r="Z1673">
            <v>0</v>
          </cell>
        </row>
        <row r="1674">
          <cell r="C1674" t="str">
            <v>EDİRNE</v>
          </cell>
          <cell r="D1674" t="str">
            <v>SÜLOĞLU</v>
          </cell>
          <cell r="H1674" t="str">
            <v>Dağıtım-OG</v>
          </cell>
          <cell r="I1674" t="str">
            <v>Uzun</v>
          </cell>
          <cell r="J1674" t="str">
            <v>Şebeke İşletmecisi</v>
          </cell>
          <cell r="K1674" t="str">
            <v>Bildirimsiz</v>
          </cell>
          <cell r="O1674">
            <v>0</v>
          </cell>
          <cell r="P1674">
            <v>0</v>
          </cell>
          <cell r="Q1674">
            <v>1</v>
          </cell>
          <cell r="R1674">
            <v>0</v>
          </cell>
          <cell r="S1674">
            <v>13</v>
          </cell>
          <cell r="T1674">
            <v>693</v>
          </cell>
          <cell r="U1674">
            <v>0</v>
          </cell>
          <cell r="V1674">
            <v>0</v>
          </cell>
          <cell r="W1674">
            <v>47.766666663810611</v>
          </cell>
          <cell r="X1674">
            <v>0</v>
          </cell>
          <cell r="Y1674">
            <v>620.96666662953794</v>
          </cell>
          <cell r="Z1674">
            <v>33102.299998020753</v>
          </cell>
        </row>
        <row r="1675">
          <cell r="C1675" t="str">
            <v>TEKİRDAĞ</v>
          </cell>
          <cell r="D1675" t="str">
            <v>MALKARA</v>
          </cell>
          <cell r="H1675" t="str">
            <v>Dağıtım-AG</v>
          </cell>
          <cell r="I1675" t="str">
            <v>Uzun</v>
          </cell>
          <cell r="J1675" t="str">
            <v>Şebeke işletmecisi</v>
          </cell>
          <cell r="K1675" t="str">
            <v>Bildirimsiz</v>
          </cell>
          <cell r="O1675">
            <v>0</v>
          </cell>
          <cell r="P1675">
            <v>38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1814.4999997434206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</row>
        <row r="1676">
          <cell r="C1676" t="str">
            <v>KIRKLARELİ</v>
          </cell>
          <cell r="D1676" t="str">
            <v>BABAESKİ</v>
          </cell>
          <cell r="H1676" t="str">
            <v>Dağıtım-AG</v>
          </cell>
          <cell r="I1676" t="str">
            <v>Uzun</v>
          </cell>
          <cell r="J1676" t="str">
            <v>Şebeke işletmecisi</v>
          </cell>
          <cell r="K1676" t="str">
            <v>Bildirimsiz</v>
          </cell>
          <cell r="O1676">
            <v>0</v>
          </cell>
          <cell r="P1676">
            <v>14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666.86666677705944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</row>
        <row r="1677">
          <cell r="C1677" t="str">
            <v>TEKİRDAĞ</v>
          </cell>
          <cell r="D1677" t="str">
            <v>MALKARA</v>
          </cell>
          <cell r="H1677" t="str">
            <v>Dağıtım-OG</v>
          </cell>
          <cell r="I1677" t="str">
            <v>Uzun</v>
          </cell>
          <cell r="J1677" t="str">
            <v>Şebeke işletmecisi</v>
          </cell>
          <cell r="K1677" t="str">
            <v>Bildirimli</v>
          </cell>
          <cell r="O1677">
            <v>0</v>
          </cell>
          <cell r="P1677">
            <v>1</v>
          </cell>
          <cell r="Q1677">
            <v>0</v>
          </cell>
          <cell r="R1677">
            <v>0</v>
          </cell>
          <cell r="S1677">
            <v>2</v>
          </cell>
          <cell r="T1677">
            <v>209</v>
          </cell>
          <cell r="U1677">
            <v>0</v>
          </cell>
          <cell r="V1677">
            <v>47.600000000093132</v>
          </cell>
          <cell r="W1677">
            <v>0</v>
          </cell>
          <cell r="X1677">
            <v>0</v>
          </cell>
          <cell r="Y1677">
            <v>95.200000000186265</v>
          </cell>
          <cell r="Z1677">
            <v>9948.4000000194646</v>
          </cell>
        </row>
        <row r="1678">
          <cell r="C1678" t="str">
            <v>KIRKLARELİ</v>
          </cell>
          <cell r="D1678" t="str">
            <v>PEHLİVANKÖY</v>
          </cell>
          <cell r="H1678" t="str">
            <v>Dağıtım-OG</v>
          </cell>
          <cell r="I1678" t="str">
            <v>Uzun</v>
          </cell>
          <cell r="J1678" t="str">
            <v>Şebeke işletmecisi</v>
          </cell>
          <cell r="K1678" t="str">
            <v>Bildirimsiz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235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11182.083334901836</v>
          </cell>
        </row>
        <row r="1679">
          <cell r="C1679" t="str">
            <v>EDİRNE</v>
          </cell>
          <cell r="D1679" t="str">
            <v>EDİRNEMERKEZ</v>
          </cell>
          <cell r="H1679" t="str">
            <v>Dağıtım-AG</v>
          </cell>
          <cell r="I1679" t="str">
            <v>Uzun</v>
          </cell>
          <cell r="J1679" t="str">
            <v>Şebeke işletmecisi</v>
          </cell>
          <cell r="K1679" t="str">
            <v>Bildirimsiz</v>
          </cell>
          <cell r="O1679">
            <v>0</v>
          </cell>
          <cell r="P1679">
            <v>10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475.83333329530433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</row>
        <row r="1680">
          <cell r="C1680" t="str">
            <v>TEKİRDAĞ</v>
          </cell>
          <cell r="D1680" t="str">
            <v>ÇORLU</v>
          </cell>
          <cell r="H1680" t="str">
            <v>Dağıtım-AG</v>
          </cell>
          <cell r="I1680" t="str">
            <v>Uzun</v>
          </cell>
          <cell r="J1680" t="str">
            <v>Şebeke işletmecisi</v>
          </cell>
          <cell r="K1680" t="str">
            <v>Bildirimsiz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34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1617.8333332040347</v>
          </cell>
        </row>
        <row r="1681">
          <cell r="C1681" t="str">
            <v>TEKİRDAĞ</v>
          </cell>
          <cell r="D1681" t="str">
            <v>MALKARA</v>
          </cell>
          <cell r="H1681" t="str">
            <v>Dağıtım-AG</v>
          </cell>
          <cell r="I1681" t="str">
            <v>Uzun</v>
          </cell>
          <cell r="J1681" t="str">
            <v>Şebeke işletmecisi</v>
          </cell>
          <cell r="K1681" t="str">
            <v>Bildirimsiz</v>
          </cell>
          <cell r="O1681">
            <v>0</v>
          </cell>
          <cell r="P1681">
            <v>34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1616.699999962002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</row>
        <row r="1682">
          <cell r="C1682" t="str">
            <v>KIRKLARELİ</v>
          </cell>
          <cell r="D1682" t="str">
            <v>PINARHİSAR</v>
          </cell>
          <cell r="H1682" t="str">
            <v>Dağıtım-AG</v>
          </cell>
          <cell r="I1682" t="str">
            <v>Uzun</v>
          </cell>
          <cell r="J1682" t="str">
            <v>Şebeke işletmecisi</v>
          </cell>
          <cell r="K1682" t="str">
            <v>Bildirimsiz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54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2565.9000000846572</v>
          </cell>
        </row>
        <row r="1683">
          <cell r="C1683" t="str">
            <v>KIRKLARELİ</v>
          </cell>
          <cell r="D1683" t="str">
            <v>LÜLEBURGAZ</v>
          </cell>
          <cell r="H1683" t="str">
            <v>Dağıtım-AG</v>
          </cell>
          <cell r="I1683" t="str">
            <v>Uzun</v>
          </cell>
          <cell r="J1683" t="str">
            <v>Şebeke işletmecisi</v>
          </cell>
          <cell r="K1683" t="str">
            <v>Bildirimsiz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1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47.483333327108994</v>
          </cell>
        </row>
        <row r="1684">
          <cell r="C1684" t="str">
            <v>TEKİRDAĞ</v>
          </cell>
          <cell r="D1684" t="str">
            <v>MARMARAEREĞLİSİ</v>
          </cell>
          <cell r="H1684" t="str">
            <v>Dağıtım-OG</v>
          </cell>
          <cell r="I1684" t="str">
            <v>Uzun</v>
          </cell>
          <cell r="J1684" t="str">
            <v>Şebeke işletmecisi</v>
          </cell>
          <cell r="K1684" t="str">
            <v>Bildirimsiz</v>
          </cell>
          <cell r="O1684">
            <v>0</v>
          </cell>
          <cell r="P1684">
            <v>2</v>
          </cell>
          <cell r="Q1684">
            <v>3</v>
          </cell>
          <cell r="R1684">
            <v>948</v>
          </cell>
          <cell r="S1684">
            <v>0</v>
          </cell>
          <cell r="T1684">
            <v>0</v>
          </cell>
          <cell r="U1684">
            <v>0</v>
          </cell>
          <cell r="V1684">
            <v>94.866666672751307</v>
          </cell>
          <cell r="W1684">
            <v>142.30000000912696</v>
          </cell>
          <cell r="X1684">
            <v>44966.80000288412</v>
          </cell>
          <cell r="Y1684">
            <v>0</v>
          </cell>
          <cell r="Z1684">
            <v>0</v>
          </cell>
        </row>
        <row r="1685">
          <cell r="C1685" t="str">
            <v>TEKİRDAĞ</v>
          </cell>
          <cell r="D1685" t="str">
            <v>SARAY</v>
          </cell>
          <cell r="H1685" t="str">
            <v>Dağıtım-AG</v>
          </cell>
          <cell r="I1685" t="str">
            <v>Uzun</v>
          </cell>
          <cell r="J1685" t="str">
            <v>Şebeke işletmecisi</v>
          </cell>
          <cell r="K1685" t="str">
            <v>Bildirimsiz</v>
          </cell>
          <cell r="O1685">
            <v>0</v>
          </cell>
          <cell r="P1685">
            <v>0</v>
          </cell>
          <cell r="Q1685">
            <v>0</v>
          </cell>
          <cell r="R1685">
            <v>5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236.58333336934447</v>
          </cell>
          <cell r="Y1685">
            <v>0</v>
          </cell>
          <cell r="Z1685">
            <v>0</v>
          </cell>
        </row>
        <row r="1686">
          <cell r="C1686" t="str">
            <v>TEKİRDAĞ</v>
          </cell>
          <cell r="D1686" t="str">
            <v>ÇERKEZKÖY</v>
          </cell>
          <cell r="H1686" t="str">
            <v>Dağıtım-AG</v>
          </cell>
          <cell r="I1686" t="str">
            <v>Uzun</v>
          </cell>
          <cell r="J1686" t="str">
            <v>Şebeke işletmecisi</v>
          </cell>
          <cell r="K1686" t="str">
            <v>Bildirimsiz</v>
          </cell>
          <cell r="O1686">
            <v>0</v>
          </cell>
          <cell r="P1686">
            <v>5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236.41666666371748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</row>
        <row r="1687">
          <cell r="C1687" t="str">
            <v>KIRKLARELİ</v>
          </cell>
          <cell r="D1687" t="str">
            <v>LÜLEBURGAZ</v>
          </cell>
          <cell r="H1687" t="str">
            <v>Dağıtım-OG</v>
          </cell>
          <cell r="I1687" t="str">
            <v>Uzun</v>
          </cell>
          <cell r="J1687" t="str">
            <v>Şebeke işletmecisi</v>
          </cell>
          <cell r="K1687" t="str">
            <v>Bildirimsiz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1</v>
          </cell>
          <cell r="T1687">
            <v>166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47.266666662180796</v>
          </cell>
          <cell r="Z1687">
            <v>7846.2666659220122</v>
          </cell>
        </row>
        <row r="1688">
          <cell r="C1688" t="str">
            <v>EDİRNE</v>
          </cell>
          <cell r="D1688" t="str">
            <v>KEŞAN</v>
          </cell>
          <cell r="H1688" t="str">
            <v>Dağıtım-AG</v>
          </cell>
          <cell r="I1688" t="str">
            <v>Uzun</v>
          </cell>
          <cell r="J1688" t="str">
            <v>Şebeke işletmecisi</v>
          </cell>
          <cell r="K1688" t="str">
            <v>Bildirimsiz</v>
          </cell>
          <cell r="O1688">
            <v>0</v>
          </cell>
          <cell r="P1688">
            <v>0</v>
          </cell>
          <cell r="Q1688">
            <v>0</v>
          </cell>
          <cell r="R1688">
            <v>32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1510.9333334863186</v>
          </cell>
          <cell r="Y1688">
            <v>0</v>
          </cell>
          <cell r="Z1688">
            <v>0</v>
          </cell>
        </row>
        <row r="1689">
          <cell r="C1689" t="str">
            <v>EDİRNE</v>
          </cell>
          <cell r="D1689" t="str">
            <v>KEŞAN</v>
          </cell>
          <cell r="H1689" t="str">
            <v>Dağıtım-AG</v>
          </cell>
          <cell r="I1689" t="str">
            <v>Uzun</v>
          </cell>
          <cell r="J1689" t="str">
            <v>Şebeke işletmecisi</v>
          </cell>
          <cell r="K1689" t="str">
            <v>Bildirimsiz</v>
          </cell>
          <cell r="O1689">
            <v>0</v>
          </cell>
          <cell r="P1689">
            <v>8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377.33333336189389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</row>
        <row r="1690">
          <cell r="C1690" t="str">
            <v>TEKİRDAĞ</v>
          </cell>
          <cell r="D1690" t="str">
            <v>MARMARAEREĞLİSİ</v>
          </cell>
          <cell r="H1690" t="str">
            <v>Dağıtım-AG</v>
          </cell>
          <cell r="I1690" t="str">
            <v>Uzun</v>
          </cell>
          <cell r="J1690" t="str">
            <v>Şebeke işletmecisi</v>
          </cell>
          <cell r="K1690" t="str">
            <v>Bildirimsiz</v>
          </cell>
          <cell r="O1690">
            <v>0</v>
          </cell>
          <cell r="P1690">
            <v>31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1461.1333335272502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</row>
        <row r="1691">
          <cell r="C1691" t="str">
            <v>KIRKLARELİ</v>
          </cell>
          <cell r="D1691" t="str">
            <v>LÜLEBURGAZ</v>
          </cell>
          <cell r="H1691" t="str">
            <v>Dağıtım-AG</v>
          </cell>
          <cell r="I1691" t="str">
            <v>Uzun</v>
          </cell>
          <cell r="J1691" t="str">
            <v>Şebeke işletmecisi</v>
          </cell>
          <cell r="K1691" t="str">
            <v>Bildirimsiz</v>
          </cell>
          <cell r="O1691">
            <v>0</v>
          </cell>
          <cell r="P1691">
            <v>0</v>
          </cell>
          <cell r="Q1691">
            <v>0</v>
          </cell>
          <cell r="R1691">
            <v>19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893.63333320710808</v>
          </cell>
          <cell r="Y1691">
            <v>0</v>
          </cell>
          <cell r="Z1691">
            <v>0</v>
          </cell>
        </row>
        <row r="1692">
          <cell r="C1692" t="str">
            <v>EDİRNE</v>
          </cell>
          <cell r="D1692" t="str">
            <v>İPSALA</v>
          </cell>
          <cell r="H1692" t="str">
            <v>Dağıtım-OG</v>
          </cell>
          <cell r="I1692" t="str">
            <v>Uzun</v>
          </cell>
          <cell r="J1692" t="str">
            <v>Şebeke işletmecisi</v>
          </cell>
          <cell r="K1692" t="str">
            <v>Bildirimsiz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3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141.0999999800697</v>
          </cell>
          <cell r="Z1692">
            <v>0</v>
          </cell>
        </row>
        <row r="1693">
          <cell r="C1693" t="str">
            <v>TEKİRDAĞ</v>
          </cell>
          <cell r="D1693" t="str">
            <v>SARAY</v>
          </cell>
          <cell r="H1693" t="str">
            <v>Dağıtım-AG</v>
          </cell>
          <cell r="I1693" t="str">
            <v>Uzun</v>
          </cell>
          <cell r="J1693" t="str">
            <v>Şebeke işletmecisi</v>
          </cell>
          <cell r="K1693" t="str">
            <v>Bildirimsiz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1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47.000000006519258</v>
          </cell>
        </row>
        <row r="1694">
          <cell r="C1694" t="str">
            <v>KIRKLARELİ</v>
          </cell>
          <cell r="D1694" t="str">
            <v>DEMİRKÖY</v>
          </cell>
          <cell r="H1694" t="str">
            <v>Dağıtım-OG</v>
          </cell>
          <cell r="I1694" t="str">
            <v>Uzun</v>
          </cell>
          <cell r="J1694" t="str">
            <v>Şebeke işletmecisi</v>
          </cell>
          <cell r="K1694" t="str">
            <v>Bildirimsiz</v>
          </cell>
          <cell r="O1694">
            <v>0</v>
          </cell>
          <cell r="P1694">
            <v>0</v>
          </cell>
          <cell r="Q1694">
            <v>0</v>
          </cell>
          <cell r="R1694">
            <v>1</v>
          </cell>
          <cell r="S1694">
            <v>2</v>
          </cell>
          <cell r="T1694">
            <v>416</v>
          </cell>
          <cell r="U1694">
            <v>0</v>
          </cell>
          <cell r="V1694">
            <v>0</v>
          </cell>
          <cell r="W1694">
            <v>0</v>
          </cell>
          <cell r="X1694">
            <v>47.000000006519258</v>
          </cell>
          <cell r="Y1694">
            <v>94.000000013038516</v>
          </cell>
          <cell r="Z1694">
            <v>19552.000002712011</v>
          </cell>
        </row>
        <row r="1695">
          <cell r="C1695" t="str">
            <v>TEKİRDAĞ</v>
          </cell>
          <cell r="D1695" t="str">
            <v>SARAY</v>
          </cell>
          <cell r="H1695" t="str">
            <v>Dağıtım-AG</v>
          </cell>
          <cell r="I1695" t="str">
            <v>Uzun</v>
          </cell>
          <cell r="J1695" t="str">
            <v>Şebeke işletmecisi</v>
          </cell>
          <cell r="K1695" t="str">
            <v>Bildirimsiz</v>
          </cell>
          <cell r="O1695">
            <v>0</v>
          </cell>
          <cell r="P1695">
            <v>0</v>
          </cell>
          <cell r="Q1695">
            <v>0</v>
          </cell>
          <cell r="R1695">
            <v>11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516.99999995646067</v>
          </cell>
          <cell r="Y1695">
            <v>0</v>
          </cell>
          <cell r="Z1695">
            <v>0</v>
          </cell>
        </row>
        <row r="1696">
          <cell r="C1696" t="str">
            <v>EDİRNE</v>
          </cell>
          <cell r="D1696" t="str">
            <v>KEŞAN</v>
          </cell>
          <cell r="H1696" t="str">
            <v>Dağıtım-AG</v>
          </cell>
          <cell r="I1696" t="str">
            <v>Uzun</v>
          </cell>
          <cell r="J1696" t="str">
            <v>Şebeke işletmecisi</v>
          </cell>
          <cell r="K1696" t="str">
            <v>Bildirimsiz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31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1456.9999998772983</v>
          </cell>
        </row>
        <row r="1697">
          <cell r="C1697" t="str">
            <v>TEKİRDAĞ</v>
          </cell>
          <cell r="D1697" t="str">
            <v>MARMARAEREĞLİSİ</v>
          </cell>
          <cell r="H1697" t="str">
            <v>Dağıtım-AG</v>
          </cell>
          <cell r="I1697" t="str">
            <v>Uzun</v>
          </cell>
          <cell r="J1697" t="str">
            <v>Şebeke işletmecisi</v>
          </cell>
          <cell r="K1697" t="str">
            <v>Bildirimsiz</v>
          </cell>
          <cell r="O1697">
            <v>0</v>
          </cell>
          <cell r="P1697">
            <v>0</v>
          </cell>
          <cell r="Q1697">
            <v>0</v>
          </cell>
          <cell r="R1697">
            <v>16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750.40000006556511</v>
          </cell>
          <cell r="Y1697">
            <v>0</v>
          </cell>
          <cell r="Z1697">
            <v>0</v>
          </cell>
        </row>
        <row r="1698">
          <cell r="C1698" t="str">
            <v>TEKİRDAĞ</v>
          </cell>
          <cell r="D1698" t="str">
            <v>ŞARKÖY</v>
          </cell>
          <cell r="H1698" t="str">
            <v>Dağıtım-AG</v>
          </cell>
          <cell r="I1698" t="str">
            <v>Uzun</v>
          </cell>
          <cell r="J1698" t="str">
            <v>Şebeke İşletmecisi</v>
          </cell>
          <cell r="K1698" t="str">
            <v>Bildirimsiz</v>
          </cell>
          <cell r="O1698">
            <v>0</v>
          </cell>
          <cell r="P1698">
            <v>0</v>
          </cell>
          <cell r="Q1698">
            <v>0</v>
          </cell>
          <cell r="R1698">
            <v>4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187.46666665188968</v>
          </cell>
          <cell r="Y1698">
            <v>0</v>
          </cell>
          <cell r="Z1698">
            <v>0</v>
          </cell>
        </row>
        <row r="1699">
          <cell r="C1699" t="str">
            <v>TEKİRDAĞ</v>
          </cell>
          <cell r="D1699" t="str">
            <v>MARMARAEREĞLİSİ</v>
          </cell>
          <cell r="H1699" t="str">
            <v>Dağıtım-AG</v>
          </cell>
          <cell r="I1699" t="str">
            <v>Uzun</v>
          </cell>
          <cell r="J1699" t="str">
            <v>Şebeke işletmecisi</v>
          </cell>
          <cell r="K1699" t="str">
            <v>Bildirimsiz</v>
          </cell>
          <cell r="O1699">
            <v>0</v>
          </cell>
          <cell r="P1699">
            <v>42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1967.0000003976747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</row>
        <row r="1700">
          <cell r="C1700" t="str">
            <v>TEKİRDAĞ</v>
          </cell>
          <cell r="D1700" t="str">
            <v>ÇERKEZKÖY</v>
          </cell>
          <cell r="H1700" t="str">
            <v>Dağıtım-OG</v>
          </cell>
          <cell r="I1700" t="str">
            <v>Uzun</v>
          </cell>
          <cell r="J1700" t="str">
            <v>Şebeke işletmecisi</v>
          </cell>
          <cell r="K1700" t="str">
            <v>Bildirimsiz</v>
          </cell>
          <cell r="O1700">
            <v>6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280.69999998668209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</row>
        <row r="1701">
          <cell r="C1701" t="str">
            <v>TEKİRDAĞ</v>
          </cell>
          <cell r="D1701" t="str">
            <v>SÜLEYMANPAŞA</v>
          </cell>
          <cell r="H1701" t="str">
            <v>Dağıtım-AG</v>
          </cell>
          <cell r="I1701" t="str">
            <v>Uzun</v>
          </cell>
          <cell r="J1701" t="str">
            <v>Şebeke işletmecisi</v>
          </cell>
          <cell r="K1701" t="str">
            <v>Bildirimsiz</v>
          </cell>
          <cell r="O1701">
            <v>0</v>
          </cell>
          <cell r="P1701">
            <v>37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1729.7500000172295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</row>
        <row r="1702">
          <cell r="C1702" t="str">
            <v>KIRKLARELİ</v>
          </cell>
          <cell r="D1702" t="str">
            <v>KIRKLARELİMERKEZ</v>
          </cell>
          <cell r="H1702" t="str">
            <v>Dağıtım-AG</v>
          </cell>
          <cell r="I1702" t="str">
            <v>Uzun</v>
          </cell>
          <cell r="J1702" t="str">
            <v>Şebeke işletmecisi</v>
          </cell>
          <cell r="K1702" t="str">
            <v>Bildirimsiz</v>
          </cell>
          <cell r="O1702">
            <v>0</v>
          </cell>
          <cell r="P1702">
            <v>3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140.19999998970889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</row>
        <row r="1703">
          <cell r="C1703" t="str">
            <v>KIRKLARELİ</v>
          </cell>
          <cell r="D1703" t="str">
            <v>LÜLEBURGAZ</v>
          </cell>
          <cell r="H1703" t="str">
            <v>Dağıtım-AG</v>
          </cell>
          <cell r="I1703" t="str">
            <v>Uzun</v>
          </cell>
          <cell r="J1703" t="str">
            <v>Şebeke işletmecisi</v>
          </cell>
          <cell r="K1703" t="str">
            <v>Bildirimsiz</v>
          </cell>
          <cell r="O1703">
            <v>0</v>
          </cell>
          <cell r="P1703">
            <v>60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2803.0000001890585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</row>
        <row r="1704">
          <cell r="C1704" t="str">
            <v>TEKİRDAĞ</v>
          </cell>
          <cell r="D1704" t="str">
            <v>ŞARKÖY</v>
          </cell>
          <cell r="H1704" t="str">
            <v>Dağıtım-AG</v>
          </cell>
          <cell r="I1704" t="str">
            <v>Uzun</v>
          </cell>
          <cell r="J1704" t="str">
            <v>Şebeke işletmecisi</v>
          </cell>
          <cell r="K1704" t="str">
            <v>Bildirimsiz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3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140.15000000945292</v>
          </cell>
        </row>
        <row r="1705">
          <cell r="C1705" t="str">
            <v>KIRKLARELİ</v>
          </cell>
          <cell r="D1705" t="str">
            <v>VİZE</v>
          </cell>
          <cell r="H1705" t="str">
            <v>Dağıtım-OG</v>
          </cell>
          <cell r="I1705" t="str">
            <v>Uzun</v>
          </cell>
          <cell r="J1705" t="str">
            <v>Şebeke İşletmecisi</v>
          </cell>
          <cell r="K1705" t="str">
            <v>Bildirimsiz</v>
          </cell>
          <cell r="O1705">
            <v>0</v>
          </cell>
          <cell r="P1705">
            <v>0</v>
          </cell>
          <cell r="Q1705">
            <v>1</v>
          </cell>
          <cell r="R1705">
            <v>0</v>
          </cell>
          <cell r="S1705">
            <v>23</v>
          </cell>
          <cell r="T1705">
            <v>1323</v>
          </cell>
          <cell r="U1705">
            <v>0</v>
          </cell>
          <cell r="V1705">
            <v>0</v>
          </cell>
          <cell r="W1705">
            <v>46.699999999254942</v>
          </cell>
          <cell r="X1705">
            <v>0</v>
          </cell>
          <cell r="Y1705">
            <v>1074.0999999828637</v>
          </cell>
          <cell r="Z1705">
            <v>61784.099999014288</v>
          </cell>
        </row>
        <row r="1706">
          <cell r="C1706" t="str">
            <v>KIRKLARELİ</v>
          </cell>
          <cell r="D1706" t="str">
            <v>PEHLİVANKÖY</v>
          </cell>
          <cell r="H1706" t="str">
            <v>Dağıtım-OG</v>
          </cell>
          <cell r="I1706" t="str">
            <v>Uzun</v>
          </cell>
          <cell r="J1706" t="str">
            <v>Şebeke işletmecisi</v>
          </cell>
          <cell r="K1706" t="str">
            <v>Bildirimli</v>
          </cell>
          <cell r="O1706">
            <v>0</v>
          </cell>
          <cell r="P1706">
            <v>0</v>
          </cell>
          <cell r="Q1706">
            <v>0</v>
          </cell>
          <cell r="R1706">
            <v>88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4099.3333327118307</v>
          </cell>
          <cell r="Y1706">
            <v>0</v>
          </cell>
          <cell r="Z1706">
            <v>0</v>
          </cell>
        </row>
        <row r="1707">
          <cell r="C1707" t="str">
            <v>EDİRNE</v>
          </cell>
          <cell r="D1707" t="str">
            <v>ENEZ</v>
          </cell>
          <cell r="H1707" t="str">
            <v>Dağıtım-OG</v>
          </cell>
          <cell r="I1707" t="str">
            <v>Uzun</v>
          </cell>
          <cell r="J1707" t="str">
            <v>Şebeke İşletmecisi</v>
          </cell>
          <cell r="K1707" t="str">
            <v>Bildirimsiz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385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17915.333334181923</v>
          </cell>
        </row>
        <row r="1708">
          <cell r="C1708" t="str">
            <v>TEKİRDAĞ</v>
          </cell>
          <cell r="D1708" t="str">
            <v>MALKARA</v>
          </cell>
          <cell r="H1708" t="str">
            <v>Dağıtım-AG</v>
          </cell>
          <cell r="I1708" t="str">
            <v>Uzun</v>
          </cell>
          <cell r="J1708" t="str">
            <v>Şebeke işletmecisi</v>
          </cell>
          <cell r="K1708" t="str">
            <v>Bildirimsiz</v>
          </cell>
          <cell r="O1708">
            <v>0</v>
          </cell>
          <cell r="P1708">
            <v>75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3488.7499998731073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</row>
        <row r="1709">
          <cell r="C1709" t="str">
            <v>TEKİRDAĞ</v>
          </cell>
          <cell r="D1709" t="str">
            <v>SARAY</v>
          </cell>
          <cell r="H1709" t="str">
            <v>Dağıtım-AG</v>
          </cell>
          <cell r="I1709" t="str">
            <v>Uzun</v>
          </cell>
          <cell r="J1709" t="str">
            <v>Dışsal</v>
          </cell>
          <cell r="K1709" t="str">
            <v>Bildirimsiz</v>
          </cell>
          <cell r="O1709">
            <v>0</v>
          </cell>
          <cell r="P1709">
            <v>0</v>
          </cell>
          <cell r="Q1709">
            <v>0</v>
          </cell>
          <cell r="R1709">
            <v>1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46.499999994412065</v>
          </cell>
          <cell r="Y1709">
            <v>0</v>
          </cell>
          <cell r="Z1709">
            <v>0</v>
          </cell>
        </row>
        <row r="1710">
          <cell r="C1710" t="str">
            <v>TEKİRDAĞ</v>
          </cell>
          <cell r="D1710" t="str">
            <v>ÇORLU</v>
          </cell>
          <cell r="H1710" t="str">
            <v>Dağıtım-AG</v>
          </cell>
          <cell r="I1710" t="str">
            <v>Uzun</v>
          </cell>
          <cell r="J1710" t="str">
            <v>Şebeke işletmecisi</v>
          </cell>
          <cell r="K1710" t="str">
            <v>Bildirimsiz</v>
          </cell>
          <cell r="O1710">
            <v>0</v>
          </cell>
          <cell r="P1710">
            <v>65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3021.4166660502087</v>
          </cell>
          <cell r="W1710">
            <v>0</v>
          </cell>
          <cell r="X1710">
            <v>0</v>
          </cell>
          <cell r="Y1710">
            <v>0</v>
          </cell>
          <cell r="Z1710">
            <v>0</v>
          </cell>
        </row>
        <row r="1711">
          <cell r="C1711" t="str">
            <v>KIRKLARELİ</v>
          </cell>
          <cell r="D1711" t="str">
            <v>KIRKLARELİMERKEZ</v>
          </cell>
          <cell r="H1711" t="str">
            <v>Dağıtım-OG</v>
          </cell>
          <cell r="I1711" t="str">
            <v>Uzun</v>
          </cell>
          <cell r="J1711" t="str">
            <v>Şebeke işletmecisi</v>
          </cell>
          <cell r="K1711" t="str">
            <v>Bildirimsiz</v>
          </cell>
          <cell r="O1711">
            <v>0</v>
          </cell>
          <cell r="P1711">
            <v>390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18115.500001434702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</row>
        <row r="1712">
          <cell r="C1712" t="str">
            <v>TEKİRDAĞ</v>
          </cell>
          <cell r="D1712" t="str">
            <v>ERGENE</v>
          </cell>
          <cell r="H1712" t="str">
            <v>Dağıtım-OG</v>
          </cell>
          <cell r="I1712" t="str">
            <v>Uzun</v>
          </cell>
          <cell r="J1712" t="str">
            <v>Şebeke işletmecisi</v>
          </cell>
          <cell r="K1712" t="str">
            <v>Bildirimsiz</v>
          </cell>
          <cell r="O1712">
            <v>4</v>
          </cell>
          <cell r="P1712">
            <v>13</v>
          </cell>
          <cell r="Q1712">
            <v>0</v>
          </cell>
          <cell r="R1712">
            <v>0</v>
          </cell>
          <cell r="S1712">
            <v>0</v>
          </cell>
          <cell r="T1712">
            <v>1</v>
          </cell>
          <cell r="U1712">
            <v>185.79999997280538</v>
          </cell>
          <cell r="V1712">
            <v>603.84999991161749</v>
          </cell>
          <cell r="W1712">
            <v>0</v>
          </cell>
          <cell r="X1712">
            <v>0</v>
          </cell>
          <cell r="Y1712">
            <v>0</v>
          </cell>
          <cell r="Z1712">
            <v>46.449999993201345</v>
          </cell>
        </row>
        <row r="1713">
          <cell r="C1713" t="str">
            <v>EDİRNE</v>
          </cell>
          <cell r="D1713" t="str">
            <v>UZUNKÖPRÜ</v>
          </cell>
          <cell r="H1713" t="str">
            <v>Dağıtım-OG</v>
          </cell>
          <cell r="I1713" t="str">
            <v>Uzun</v>
          </cell>
          <cell r="J1713" t="str">
            <v>Şebeke İşletmecisi</v>
          </cell>
          <cell r="K1713" t="str">
            <v>Bildirimsiz</v>
          </cell>
          <cell r="O1713">
            <v>1</v>
          </cell>
          <cell r="P1713">
            <v>176</v>
          </cell>
          <cell r="Q1713">
            <v>0</v>
          </cell>
          <cell r="R1713">
            <v>0</v>
          </cell>
          <cell r="S1713">
            <v>0</v>
          </cell>
          <cell r="T1713">
            <v>1</v>
          </cell>
          <cell r="U1713">
            <v>46.433333333116025</v>
          </cell>
          <cell r="V1713">
            <v>8172.2666666284204</v>
          </cell>
          <cell r="W1713">
            <v>0</v>
          </cell>
          <cell r="X1713">
            <v>0</v>
          </cell>
          <cell r="Y1713">
            <v>0</v>
          </cell>
          <cell r="Z1713">
            <v>46.433333333116025</v>
          </cell>
        </row>
        <row r="1714">
          <cell r="C1714" t="str">
            <v>TEKİRDAĞ</v>
          </cell>
          <cell r="D1714" t="str">
            <v>MARMARAEREĞLİSİ</v>
          </cell>
          <cell r="H1714" t="str">
            <v>Dağıtım-AG</v>
          </cell>
          <cell r="I1714" t="str">
            <v>Uzun</v>
          </cell>
          <cell r="J1714" t="str">
            <v>Şebeke işletmecisi</v>
          </cell>
          <cell r="K1714" t="str">
            <v>Bildirimsiz</v>
          </cell>
          <cell r="O1714">
            <v>0</v>
          </cell>
          <cell r="P1714">
            <v>0</v>
          </cell>
          <cell r="Q1714">
            <v>0</v>
          </cell>
          <cell r="R1714">
            <v>1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46.366666671819985</v>
          </cell>
          <cell r="Y1714">
            <v>0</v>
          </cell>
          <cell r="Z1714">
            <v>0</v>
          </cell>
        </row>
        <row r="1715">
          <cell r="C1715" t="str">
            <v>TEKİRDAĞ</v>
          </cell>
          <cell r="D1715" t="str">
            <v>KAPAKLI</v>
          </cell>
          <cell r="H1715" t="str">
            <v>Dağıtım-AG</v>
          </cell>
          <cell r="I1715" t="str">
            <v>Uzun</v>
          </cell>
          <cell r="J1715" t="str">
            <v>Şebeke işletmecisi</v>
          </cell>
          <cell r="K1715" t="str">
            <v>Bildirimsiz</v>
          </cell>
          <cell r="O1715">
            <v>0</v>
          </cell>
          <cell r="P1715">
            <v>222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10289.699997953139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</row>
        <row r="1716">
          <cell r="C1716" t="str">
            <v>TEKİRDAĞ</v>
          </cell>
          <cell r="D1716" t="str">
            <v>SÜLEYMANPAŞA</v>
          </cell>
          <cell r="H1716" t="str">
            <v>Dağıtım-AG</v>
          </cell>
          <cell r="I1716" t="str">
            <v>Uzun</v>
          </cell>
          <cell r="J1716" t="str">
            <v>Şebeke işletmecisi</v>
          </cell>
          <cell r="K1716" t="str">
            <v>Bildirimsiz</v>
          </cell>
          <cell r="O1716">
            <v>0</v>
          </cell>
          <cell r="P1716">
            <v>72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3335.9999998100102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</row>
        <row r="1717">
          <cell r="C1717" t="str">
            <v>TEKİRDAĞ</v>
          </cell>
          <cell r="D1717" t="str">
            <v>MARMARAEREĞLİSİ</v>
          </cell>
          <cell r="H1717" t="str">
            <v>Dağıtım-OG</v>
          </cell>
          <cell r="I1717" t="str">
            <v>Uzun</v>
          </cell>
          <cell r="J1717" t="str">
            <v>Şebeke işletmecisi</v>
          </cell>
          <cell r="K1717" t="str">
            <v>Bildirimli</v>
          </cell>
          <cell r="O1717">
            <v>5</v>
          </cell>
          <cell r="P1717">
            <v>46</v>
          </cell>
          <cell r="Q1717">
            <v>43</v>
          </cell>
          <cell r="R1717">
            <v>9805</v>
          </cell>
          <cell r="S1717">
            <v>0</v>
          </cell>
          <cell r="T1717">
            <v>15</v>
          </cell>
          <cell r="U1717">
            <v>231.58333335304633</v>
          </cell>
          <cell r="V1717">
            <v>2130.5666668480262</v>
          </cell>
          <cell r="W1717">
            <v>1991.6166668361984</v>
          </cell>
          <cell r="X1717">
            <v>454134.91670532385</v>
          </cell>
          <cell r="Y1717">
            <v>0</v>
          </cell>
          <cell r="Z1717">
            <v>694.75000005913898</v>
          </cell>
        </row>
        <row r="1718">
          <cell r="C1718" t="str">
            <v>KIRKLARELİ</v>
          </cell>
          <cell r="D1718" t="str">
            <v>VİZE</v>
          </cell>
          <cell r="H1718" t="str">
            <v>Dağıtım-AG</v>
          </cell>
          <cell r="I1718" t="str">
            <v>Uzun</v>
          </cell>
          <cell r="J1718" t="str">
            <v>Şebeke işletmecisi</v>
          </cell>
          <cell r="K1718" t="str">
            <v>Bildirimsiz</v>
          </cell>
          <cell r="O1718">
            <v>0</v>
          </cell>
          <cell r="P1718">
            <v>0</v>
          </cell>
          <cell r="Q1718">
            <v>0</v>
          </cell>
          <cell r="R1718">
            <v>18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833.10000011930242</v>
          </cell>
          <cell r="Y1718">
            <v>0</v>
          </cell>
          <cell r="Z1718">
            <v>0</v>
          </cell>
        </row>
        <row r="1719">
          <cell r="C1719" t="str">
            <v>EDİRNE</v>
          </cell>
          <cell r="D1719" t="str">
            <v>HAVSA</v>
          </cell>
          <cell r="H1719" t="str">
            <v>Dağıtım-OG</v>
          </cell>
          <cell r="I1719" t="str">
            <v>Uzun</v>
          </cell>
          <cell r="J1719" t="str">
            <v>Şebeke işletmecisi</v>
          </cell>
          <cell r="K1719" t="str">
            <v>Bildirimsiz</v>
          </cell>
          <cell r="O1719">
            <v>0</v>
          </cell>
          <cell r="P1719">
            <v>0</v>
          </cell>
          <cell r="Q1719">
            <v>3</v>
          </cell>
          <cell r="R1719">
            <v>1</v>
          </cell>
          <cell r="S1719">
            <v>14</v>
          </cell>
          <cell r="T1719">
            <v>1141</v>
          </cell>
          <cell r="U1719">
            <v>0</v>
          </cell>
          <cell r="V1719">
            <v>0</v>
          </cell>
          <cell r="W1719">
            <v>138.74999999650754</v>
          </cell>
          <cell r="X1719">
            <v>46.249999998835847</v>
          </cell>
          <cell r="Y1719">
            <v>647.49999998370185</v>
          </cell>
          <cell r="Z1719">
            <v>52771.249998671701</v>
          </cell>
        </row>
        <row r="1720">
          <cell r="C1720" t="str">
            <v>KIRKLARELİ</v>
          </cell>
          <cell r="D1720" t="str">
            <v>KIRKLARELİMERKEZ</v>
          </cell>
          <cell r="H1720" t="str">
            <v>Dağıtım-OG</v>
          </cell>
          <cell r="I1720" t="str">
            <v>Uzun</v>
          </cell>
          <cell r="J1720" t="str">
            <v>Şebeke İşletmecisi</v>
          </cell>
          <cell r="K1720" t="str">
            <v>Bildirimsiz</v>
          </cell>
          <cell r="O1720">
            <v>0</v>
          </cell>
          <cell r="P1720">
            <v>205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9470.9999995131511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</row>
        <row r="1721">
          <cell r="C1721" t="str">
            <v>TEKİRDAĞ</v>
          </cell>
          <cell r="D1721" t="str">
            <v>SÜLEYMANPAŞA</v>
          </cell>
          <cell r="H1721" t="str">
            <v>Dağıtım-AG</v>
          </cell>
          <cell r="I1721" t="str">
            <v>Uzun</v>
          </cell>
          <cell r="J1721" t="str">
            <v>Şebeke işletmecisi</v>
          </cell>
          <cell r="K1721" t="str">
            <v>Bildirimsiz</v>
          </cell>
          <cell r="O1721">
            <v>0</v>
          </cell>
          <cell r="P1721">
            <v>211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9744.6833320101723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</row>
        <row r="1722">
          <cell r="C1722" t="str">
            <v>TEKİRDAĞ</v>
          </cell>
          <cell r="D1722" t="str">
            <v>KAPAKLI</v>
          </cell>
          <cell r="H1722" t="str">
            <v>Dağıtım-AG</v>
          </cell>
          <cell r="I1722" t="str">
            <v>Uzun</v>
          </cell>
          <cell r="J1722" t="str">
            <v>Şebeke işletmecisi</v>
          </cell>
          <cell r="K1722" t="str">
            <v>Bildirimsiz</v>
          </cell>
          <cell r="O1722">
            <v>0</v>
          </cell>
          <cell r="P1722">
            <v>54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2493.0000000167638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</row>
        <row r="1723">
          <cell r="C1723" t="str">
            <v>EDİRNE</v>
          </cell>
          <cell r="D1723" t="str">
            <v>KEŞAN</v>
          </cell>
          <cell r="H1723" t="str">
            <v>Dağıtım-AG</v>
          </cell>
          <cell r="I1723" t="str">
            <v>Uzun</v>
          </cell>
          <cell r="J1723" t="str">
            <v>Şebeke işletmecisi</v>
          </cell>
          <cell r="K1723" t="str">
            <v>Bildirimsiz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184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8491.6000012680888</v>
          </cell>
        </row>
        <row r="1724">
          <cell r="C1724" t="str">
            <v>EDİRNE</v>
          </cell>
          <cell r="D1724" t="str">
            <v>KEŞAN</v>
          </cell>
          <cell r="H1724" t="str">
            <v>Dağıtım-OG</v>
          </cell>
          <cell r="I1724" t="str">
            <v>Uzun</v>
          </cell>
          <cell r="J1724" t="str">
            <v>Şebeke işletmecisi</v>
          </cell>
          <cell r="K1724" t="str">
            <v>Bildirimsiz</v>
          </cell>
          <cell r="O1724">
            <v>2</v>
          </cell>
          <cell r="P1724">
            <v>20</v>
          </cell>
          <cell r="Q1724">
            <v>0</v>
          </cell>
          <cell r="R1724">
            <v>0</v>
          </cell>
          <cell r="S1724">
            <v>17</v>
          </cell>
          <cell r="T1724">
            <v>16</v>
          </cell>
          <cell r="U1724">
            <v>92.266666672658175</v>
          </cell>
          <cell r="V1724">
            <v>922.66666672658175</v>
          </cell>
          <cell r="W1724">
            <v>0</v>
          </cell>
          <cell r="X1724">
            <v>0</v>
          </cell>
          <cell r="Y1724">
            <v>784.26666671759449</v>
          </cell>
          <cell r="Z1724">
            <v>738.1333333812654</v>
          </cell>
        </row>
        <row r="1725">
          <cell r="C1725" t="str">
            <v>TEKİRDAĞ</v>
          </cell>
          <cell r="D1725" t="str">
            <v>HAYRABOLU</v>
          </cell>
          <cell r="H1725" t="str">
            <v>Dağıtım-OG</v>
          </cell>
          <cell r="I1725" t="str">
            <v>Uzun</v>
          </cell>
          <cell r="J1725" t="str">
            <v>Şebeke işletmecisi</v>
          </cell>
          <cell r="K1725" t="str">
            <v>Bildirimsiz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96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4422.3999997973442</v>
          </cell>
        </row>
        <row r="1726">
          <cell r="C1726" t="str">
            <v>TEKİRDAĞ</v>
          </cell>
          <cell r="D1726" t="str">
            <v>HAYRABOLU</v>
          </cell>
          <cell r="H1726" t="str">
            <v>Dağıtım-AG</v>
          </cell>
          <cell r="I1726" t="str">
            <v>Uzun</v>
          </cell>
          <cell r="J1726" t="str">
            <v>Şebeke işletmecisi</v>
          </cell>
          <cell r="K1726" t="str">
            <v>Bildirimsiz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9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414.30000000516884</v>
          </cell>
        </row>
        <row r="1727">
          <cell r="C1727" t="str">
            <v>EDİRNE</v>
          </cell>
          <cell r="D1727" t="str">
            <v>EDİRNEMERKEZ</v>
          </cell>
          <cell r="H1727" t="str">
            <v>Dağıtım-AG</v>
          </cell>
          <cell r="I1727" t="str">
            <v>Uzun</v>
          </cell>
          <cell r="J1727" t="str">
            <v>Şebeke işletmecisi</v>
          </cell>
          <cell r="K1727" t="str">
            <v>Bildirimsiz</v>
          </cell>
          <cell r="O1727">
            <v>0</v>
          </cell>
          <cell r="P1727">
            <v>2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91.9999999855645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</row>
        <row r="1728">
          <cell r="C1728" t="str">
            <v>TEKİRDAĞ</v>
          </cell>
          <cell r="D1728" t="str">
            <v>MARMARAEREĞLİSİ</v>
          </cell>
          <cell r="H1728" t="str">
            <v>Dağıtım-OG</v>
          </cell>
          <cell r="I1728" t="str">
            <v>Uzun</v>
          </cell>
          <cell r="J1728" t="str">
            <v>Şebeke işletmecisi</v>
          </cell>
          <cell r="K1728" t="str">
            <v>Bildirimli</v>
          </cell>
          <cell r="O1728">
            <v>5</v>
          </cell>
          <cell r="P1728">
            <v>46</v>
          </cell>
          <cell r="Q1728">
            <v>43</v>
          </cell>
          <cell r="R1728">
            <v>9805</v>
          </cell>
          <cell r="S1728">
            <v>0</v>
          </cell>
          <cell r="T1728">
            <v>15</v>
          </cell>
          <cell r="U1728">
            <v>229.75000001024455</v>
          </cell>
          <cell r="V1728">
            <v>2113.7000000942498</v>
          </cell>
          <cell r="W1728">
            <v>1975.8500000881031</v>
          </cell>
          <cell r="X1728">
            <v>450539.75002008956</v>
          </cell>
          <cell r="Y1728">
            <v>0</v>
          </cell>
          <cell r="Z1728">
            <v>689.25000003073364</v>
          </cell>
        </row>
        <row r="1729">
          <cell r="C1729" t="str">
            <v>EDİRNE</v>
          </cell>
          <cell r="D1729" t="str">
            <v>HAVSA</v>
          </cell>
          <cell r="H1729" t="str">
            <v>Dağıtım-OG</v>
          </cell>
          <cell r="I1729" t="str">
            <v>Uzun</v>
          </cell>
          <cell r="J1729" t="str">
            <v>Şebeke işletmecisi</v>
          </cell>
          <cell r="K1729" t="str">
            <v>Bildirimsiz</v>
          </cell>
          <cell r="O1729">
            <v>5</v>
          </cell>
          <cell r="P1729">
            <v>25</v>
          </cell>
          <cell r="Q1729">
            <v>15</v>
          </cell>
          <cell r="R1729">
            <v>7</v>
          </cell>
          <cell r="S1729">
            <v>51</v>
          </cell>
          <cell r="T1729">
            <v>4053</v>
          </cell>
          <cell r="U1729">
            <v>229.41666665137745</v>
          </cell>
          <cell r="V1729">
            <v>1147.0833332568873</v>
          </cell>
          <cell r="W1729">
            <v>688.24999995413236</v>
          </cell>
          <cell r="X1729">
            <v>321.18333331192844</v>
          </cell>
          <cell r="Y1729">
            <v>2340.04999984405</v>
          </cell>
          <cell r="Z1729">
            <v>185965.14998760656</v>
          </cell>
        </row>
        <row r="1730">
          <cell r="C1730" t="str">
            <v>TEKİRDAĞ</v>
          </cell>
          <cell r="D1730" t="str">
            <v>SARAY</v>
          </cell>
          <cell r="H1730" t="str">
            <v>Dağıtım-AG</v>
          </cell>
          <cell r="I1730" t="str">
            <v>Uzun</v>
          </cell>
          <cell r="J1730" t="str">
            <v>Şebeke işletmecisi</v>
          </cell>
          <cell r="K1730" t="str">
            <v>Bildirimsiz</v>
          </cell>
          <cell r="O1730">
            <v>0</v>
          </cell>
          <cell r="P1730">
            <v>5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229.08333334489726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</row>
        <row r="1731">
          <cell r="C1731" t="str">
            <v>TEKİRDAĞ</v>
          </cell>
          <cell r="D1731" t="str">
            <v>ŞARKÖY</v>
          </cell>
          <cell r="H1731" t="str">
            <v>Dağıtım-OG</v>
          </cell>
          <cell r="I1731" t="str">
            <v>Uzun</v>
          </cell>
          <cell r="J1731" t="str">
            <v>Şebeke İşletmecisi</v>
          </cell>
          <cell r="K1731" t="str">
            <v>Bildirimsiz</v>
          </cell>
          <cell r="O1731">
            <v>7</v>
          </cell>
          <cell r="P1731">
            <v>298</v>
          </cell>
          <cell r="Q1731">
            <v>10</v>
          </cell>
          <cell r="R1731">
            <v>7280</v>
          </cell>
          <cell r="S1731">
            <v>25</v>
          </cell>
          <cell r="T1731">
            <v>2814</v>
          </cell>
          <cell r="U1731">
            <v>320.48333329497837</v>
          </cell>
          <cell r="V1731">
            <v>13643.433331700508</v>
          </cell>
          <cell r="W1731">
            <v>457.83333327854052</v>
          </cell>
          <cell r="X1731">
            <v>333302.6666267775</v>
          </cell>
          <cell r="Y1731">
            <v>1144.5833331963513</v>
          </cell>
          <cell r="Z1731">
            <v>128834.2999845813</v>
          </cell>
        </row>
        <row r="1732">
          <cell r="C1732" t="str">
            <v>EDİRNE</v>
          </cell>
          <cell r="D1732" t="str">
            <v>UZUNKÖPRÜ</v>
          </cell>
          <cell r="H1732" t="str">
            <v>Dağıtım-AG</v>
          </cell>
          <cell r="I1732" t="str">
            <v>Uzun</v>
          </cell>
          <cell r="J1732" t="str">
            <v>Şebeke işletmecisi</v>
          </cell>
          <cell r="K1732" t="str">
            <v>Bildirimsiz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70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3202.5000005378388</v>
          </cell>
        </row>
        <row r="1733">
          <cell r="C1733" t="str">
            <v>KIRKLARELİ</v>
          </cell>
          <cell r="D1733" t="str">
            <v>KIRKLARELİMERKEZ</v>
          </cell>
          <cell r="H1733" t="str">
            <v>Dağıtım-OG</v>
          </cell>
          <cell r="I1733" t="str">
            <v>Uzun</v>
          </cell>
          <cell r="J1733" t="str">
            <v>Şebeke işletmecisi</v>
          </cell>
          <cell r="K1733" t="str">
            <v>Bildirimsiz</v>
          </cell>
          <cell r="O1733">
            <v>1</v>
          </cell>
          <cell r="P1733">
            <v>26</v>
          </cell>
          <cell r="Q1733">
            <v>13</v>
          </cell>
          <cell r="R1733">
            <v>1450</v>
          </cell>
          <cell r="S1733">
            <v>9</v>
          </cell>
          <cell r="T1733">
            <v>839</v>
          </cell>
          <cell r="U1733">
            <v>45.733333326643333</v>
          </cell>
          <cell r="V1733">
            <v>1189.0666664927267</v>
          </cell>
          <cell r="W1733">
            <v>594.53333324636333</v>
          </cell>
          <cell r="X1733">
            <v>66313.333323632833</v>
          </cell>
          <cell r="Y1733">
            <v>411.59999993979</v>
          </cell>
          <cell r="Z1733">
            <v>38370.266661053756</v>
          </cell>
        </row>
        <row r="1734">
          <cell r="C1734" t="str">
            <v>KIRKLARELİ</v>
          </cell>
          <cell r="D1734" t="str">
            <v>BABAESKİ</v>
          </cell>
          <cell r="H1734" t="str">
            <v>Dağıtım-AG</v>
          </cell>
          <cell r="I1734" t="str">
            <v>Uzun</v>
          </cell>
          <cell r="J1734" t="str">
            <v>Şebeke işletmecisi</v>
          </cell>
          <cell r="K1734" t="str">
            <v>Bildirimsiz</v>
          </cell>
          <cell r="O1734">
            <v>0</v>
          </cell>
          <cell r="P1734">
            <v>89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4070.2666660712566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</row>
        <row r="1735">
          <cell r="C1735" t="str">
            <v>TEKİRDAĞ</v>
          </cell>
          <cell r="D1735" t="str">
            <v>MARMARAEREĞLİSİ</v>
          </cell>
          <cell r="H1735" t="str">
            <v>Dağıtım-AG</v>
          </cell>
          <cell r="I1735" t="str">
            <v>Uzun</v>
          </cell>
          <cell r="J1735" t="str">
            <v>Şebeke işletmecisi</v>
          </cell>
          <cell r="K1735" t="str">
            <v>Bildirimsiz</v>
          </cell>
          <cell r="O1735">
            <v>0</v>
          </cell>
          <cell r="P1735">
            <v>226</v>
          </cell>
          <cell r="Q1735">
            <v>0</v>
          </cell>
          <cell r="R1735">
            <v>1</v>
          </cell>
          <cell r="S1735">
            <v>0</v>
          </cell>
          <cell r="T1735">
            <v>0</v>
          </cell>
          <cell r="U1735">
            <v>0</v>
          </cell>
          <cell r="V1735">
            <v>10331.966666642111</v>
          </cell>
          <cell r="W1735">
            <v>0</v>
          </cell>
          <cell r="X1735">
            <v>45.716666666558012</v>
          </cell>
          <cell r="Y1735">
            <v>0</v>
          </cell>
          <cell r="Z1735">
            <v>0</v>
          </cell>
        </row>
        <row r="1736">
          <cell r="C1736" t="str">
            <v>TEKİRDAĞ</v>
          </cell>
          <cell r="D1736" t="str">
            <v>SÜLEYMANPAŞA</v>
          </cell>
          <cell r="H1736" t="str">
            <v>Dağıtım-AG</v>
          </cell>
          <cell r="I1736" t="str">
            <v>Uzun</v>
          </cell>
          <cell r="J1736" t="str">
            <v>Şebeke işletmecisi</v>
          </cell>
          <cell r="K1736" t="str">
            <v>Bildirimsiz</v>
          </cell>
          <cell r="O1736">
            <v>0</v>
          </cell>
          <cell r="P1736">
            <v>77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3518.8999996916391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</row>
        <row r="1737">
          <cell r="C1737" t="str">
            <v>TEKİRDAĞ</v>
          </cell>
          <cell r="D1737" t="str">
            <v>MALKARA</v>
          </cell>
          <cell r="H1737" t="str">
            <v>Dağıtım-OG</v>
          </cell>
          <cell r="I1737" t="str">
            <v>Uzun</v>
          </cell>
          <cell r="J1737" t="str">
            <v>Şebeke işletmecisi</v>
          </cell>
          <cell r="K1737" t="str">
            <v>Bildirimsiz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182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8314.3666671356186</v>
          </cell>
        </row>
        <row r="1738">
          <cell r="C1738" t="str">
            <v>TEKİRDAĞ</v>
          </cell>
          <cell r="D1738" t="str">
            <v>MURATLI</v>
          </cell>
          <cell r="H1738" t="str">
            <v>Dağıtım-OG</v>
          </cell>
          <cell r="I1738" t="str">
            <v>Uzun</v>
          </cell>
          <cell r="J1738" t="str">
            <v>Şebeke işletmecisi</v>
          </cell>
          <cell r="K1738" t="str">
            <v>Bildirimsiz</v>
          </cell>
          <cell r="O1738">
            <v>1</v>
          </cell>
          <cell r="P1738">
            <v>466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45.683333325432613</v>
          </cell>
          <cell r="V1738">
            <v>21288.433329651598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</row>
        <row r="1739">
          <cell r="C1739" t="str">
            <v>KIRKLARELİ</v>
          </cell>
          <cell r="D1739" t="str">
            <v>LÜLEBURGAZ</v>
          </cell>
          <cell r="H1739" t="str">
            <v>Dağıtım-AG</v>
          </cell>
          <cell r="I1739" t="str">
            <v>Uzun</v>
          </cell>
          <cell r="J1739" t="str">
            <v>Şebeke işletmecisi</v>
          </cell>
          <cell r="K1739" t="str">
            <v>Bildirimsiz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1</v>
          </cell>
          <cell r="U1739">
            <v>0</v>
          </cell>
          <cell r="V1739">
            <v>0</v>
          </cell>
          <cell r="W1739">
            <v>0</v>
          </cell>
          <cell r="X1739">
            <v>0</v>
          </cell>
          <cell r="Y1739">
            <v>0</v>
          </cell>
          <cell r="Z1739">
            <v>45.600000004051253</v>
          </cell>
        </row>
        <row r="1740">
          <cell r="C1740" t="str">
            <v>TEKİRDAĞ</v>
          </cell>
          <cell r="D1740" t="str">
            <v>SÜLEYMANPAŞA</v>
          </cell>
          <cell r="H1740" t="str">
            <v>Dağıtım-AG</v>
          </cell>
          <cell r="I1740" t="str">
            <v>Uzun</v>
          </cell>
          <cell r="J1740" t="str">
            <v>Şebeke işletmecisi</v>
          </cell>
          <cell r="K1740" t="str">
            <v>Bildirimsiz</v>
          </cell>
          <cell r="O1740">
            <v>0</v>
          </cell>
          <cell r="P1740">
            <v>12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547.00000000186265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</row>
        <row r="1741">
          <cell r="C1741" t="str">
            <v>TEKİRDAĞ</v>
          </cell>
          <cell r="D1741" t="str">
            <v>HAYRABOLU</v>
          </cell>
          <cell r="H1741" t="str">
            <v>Dağıtım-OG</v>
          </cell>
          <cell r="I1741" t="str">
            <v>Uzun</v>
          </cell>
          <cell r="J1741" t="str">
            <v>Şebeke işletmecisi</v>
          </cell>
          <cell r="K1741" t="str">
            <v>Bildirimsiz</v>
          </cell>
          <cell r="O1741">
            <v>0</v>
          </cell>
          <cell r="P1741">
            <v>0</v>
          </cell>
          <cell r="Q1741">
            <v>1</v>
          </cell>
          <cell r="R1741">
            <v>0</v>
          </cell>
          <cell r="S1741">
            <v>3</v>
          </cell>
          <cell r="T1741">
            <v>0</v>
          </cell>
          <cell r="U1741">
            <v>0</v>
          </cell>
          <cell r="V1741">
            <v>0</v>
          </cell>
          <cell r="W1741">
            <v>45.566666662925854</v>
          </cell>
          <cell r="X1741">
            <v>0</v>
          </cell>
          <cell r="Y1741">
            <v>136.69999998877756</v>
          </cell>
          <cell r="Z1741">
            <v>0</v>
          </cell>
        </row>
        <row r="1742">
          <cell r="C1742" t="str">
            <v>TEKİRDAĞ</v>
          </cell>
          <cell r="D1742" t="str">
            <v>MARMARAEREĞLİSİ</v>
          </cell>
          <cell r="H1742" t="str">
            <v>Dağıtım-OG</v>
          </cell>
          <cell r="I1742" t="str">
            <v>Uzun</v>
          </cell>
          <cell r="J1742" t="str">
            <v>Şebeke işletmecisi</v>
          </cell>
          <cell r="K1742" t="str">
            <v>Bildirimli</v>
          </cell>
          <cell r="O1742">
            <v>0</v>
          </cell>
          <cell r="P1742">
            <v>12</v>
          </cell>
          <cell r="Q1742">
            <v>19</v>
          </cell>
          <cell r="R1742">
            <v>2583</v>
          </cell>
          <cell r="S1742">
            <v>0</v>
          </cell>
          <cell r="T1742">
            <v>0</v>
          </cell>
          <cell r="U1742">
            <v>0</v>
          </cell>
          <cell r="V1742">
            <v>546.60000003408641</v>
          </cell>
          <cell r="W1742">
            <v>865.45000005397014</v>
          </cell>
          <cell r="X1742">
            <v>117655.6500073371</v>
          </cell>
          <cell r="Y1742">
            <v>0</v>
          </cell>
          <cell r="Z1742">
            <v>0</v>
          </cell>
        </row>
        <row r="1743">
          <cell r="C1743" t="str">
            <v>TEKİRDAĞ</v>
          </cell>
          <cell r="D1743" t="str">
            <v>MURATLI</v>
          </cell>
          <cell r="H1743" t="str">
            <v>Dağıtım-AG</v>
          </cell>
          <cell r="I1743" t="str">
            <v>Uzun</v>
          </cell>
          <cell r="J1743" t="str">
            <v>Şebeke işletmecisi</v>
          </cell>
          <cell r="K1743" t="str">
            <v>Bildirimsiz</v>
          </cell>
          <cell r="O1743">
            <v>0</v>
          </cell>
          <cell r="P1743">
            <v>40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1820.0000000651926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</row>
        <row r="1744">
          <cell r="C1744" t="str">
            <v>TEKİRDAĞ</v>
          </cell>
          <cell r="D1744" t="str">
            <v>HAYRABOLU</v>
          </cell>
          <cell r="H1744" t="str">
            <v>Dağıtım-AG</v>
          </cell>
          <cell r="I1744" t="str">
            <v>Uzun</v>
          </cell>
          <cell r="J1744" t="str">
            <v>Şebeke işletmecisi</v>
          </cell>
          <cell r="K1744" t="str">
            <v>Bildirimsiz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9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409.34999997960404</v>
          </cell>
        </row>
        <row r="1745">
          <cell r="C1745" t="str">
            <v>KIRKLARELİ</v>
          </cell>
          <cell r="D1745" t="str">
            <v>KIRKLARELİMERKEZ</v>
          </cell>
          <cell r="H1745" t="str">
            <v>Dağıtım-OG</v>
          </cell>
          <cell r="I1745" t="str">
            <v>Uzun</v>
          </cell>
          <cell r="J1745" t="str">
            <v>Şebeke İşletmecisi</v>
          </cell>
          <cell r="K1745" t="str">
            <v>Bildirimsiz</v>
          </cell>
          <cell r="O1745">
            <v>1</v>
          </cell>
          <cell r="P1745">
            <v>0</v>
          </cell>
          <cell r="Q1745">
            <v>0</v>
          </cell>
          <cell r="R1745">
            <v>0</v>
          </cell>
          <cell r="S1745">
            <v>9</v>
          </cell>
          <cell r="T1745">
            <v>265</v>
          </cell>
          <cell r="U1745">
            <v>45.466666670981795</v>
          </cell>
          <cell r="V1745">
            <v>0</v>
          </cell>
          <cell r="W1745">
            <v>0</v>
          </cell>
          <cell r="X1745">
            <v>0</v>
          </cell>
          <cell r="Y1745">
            <v>409.20000003883615</v>
          </cell>
          <cell r="Z1745">
            <v>12048.666667810176</v>
          </cell>
        </row>
        <row r="1746">
          <cell r="C1746" t="str">
            <v>EDİRNE</v>
          </cell>
          <cell r="D1746" t="str">
            <v>HAVSA</v>
          </cell>
          <cell r="H1746" t="str">
            <v>Dağıtım-OG</v>
          </cell>
          <cell r="I1746" t="str">
            <v>Uzun</v>
          </cell>
          <cell r="J1746" t="str">
            <v>Şebeke işletmecisi</v>
          </cell>
          <cell r="K1746" t="str">
            <v>Bildirimsiz</v>
          </cell>
          <cell r="O1746">
            <v>0</v>
          </cell>
          <cell r="P1746">
            <v>13</v>
          </cell>
          <cell r="Q1746">
            <v>13</v>
          </cell>
          <cell r="R1746">
            <v>2484</v>
          </cell>
          <cell r="S1746">
            <v>2</v>
          </cell>
          <cell r="T1746">
            <v>644</v>
          </cell>
          <cell r="U1746">
            <v>0</v>
          </cell>
          <cell r="V1746">
            <v>591.0666665865574</v>
          </cell>
          <cell r="W1746">
            <v>591.0666665865574</v>
          </cell>
          <cell r="X1746">
            <v>112939.19998469297</v>
          </cell>
          <cell r="Y1746">
            <v>90.933333321008831</v>
          </cell>
          <cell r="Z1746">
            <v>29280.533329364844</v>
          </cell>
        </row>
        <row r="1747">
          <cell r="C1747" t="str">
            <v>EDİRNE</v>
          </cell>
          <cell r="D1747" t="str">
            <v>İPSALA</v>
          </cell>
          <cell r="H1747" t="str">
            <v>Dağıtım-OG</v>
          </cell>
          <cell r="I1747" t="str">
            <v>Uzun</v>
          </cell>
          <cell r="J1747" t="str">
            <v>Şebeke İşletmecisi</v>
          </cell>
          <cell r="K1747" t="str">
            <v>Bildirimsiz</v>
          </cell>
          <cell r="O1747">
            <v>0</v>
          </cell>
          <cell r="P1747">
            <v>0</v>
          </cell>
          <cell r="Q1747">
            <v>1</v>
          </cell>
          <cell r="R1747">
            <v>0</v>
          </cell>
          <cell r="S1747">
            <v>13</v>
          </cell>
          <cell r="T1747">
            <v>0</v>
          </cell>
          <cell r="U1747">
            <v>0</v>
          </cell>
          <cell r="V1747">
            <v>0</v>
          </cell>
          <cell r="W1747">
            <v>45.450000000419095</v>
          </cell>
          <cell r="X1747">
            <v>0</v>
          </cell>
          <cell r="Y1747">
            <v>590.85000000544824</v>
          </cell>
          <cell r="Z1747">
            <v>0</v>
          </cell>
        </row>
        <row r="1748">
          <cell r="C1748" t="str">
            <v>TEKİRDAĞ</v>
          </cell>
          <cell r="D1748" t="str">
            <v>MALKARA</v>
          </cell>
          <cell r="H1748" t="str">
            <v>Dağıtım-AG</v>
          </cell>
          <cell r="I1748" t="str">
            <v>Uzun</v>
          </cell>
          <cell r="J1748" t="str">
            <v>Şebeke işletmecisi</v>
          </cell>
          <cell r="K1748" t="str">
            <v>Bildirimsiz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9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408.44999995781109</v>
          </cell>
        </row>
        <row r="1749">
          <cell r="C1749" t="str">
            <v>TEKİRDAĞ</v>
          </cell>
          <cell r="D1749" t="str">
            <v>HAYRABOLU</v>
          </cell>
          <cell r="H1749" t="str">
            <v>Dağıtım-AG</v>
          </cell>
          <cell r="I1749" t="str">
            <v>Uzun</v>
          </cell>
          <cell r="J1749" t="str">
            <v>Şebeke işletmecisi</v>
          </cell>
          <cell r="K1749" t="str">
            <v>Bildirimsiz</v>
          </cell>
          <cell r="O1749">
            <v>0</v>
          </cell>
          <cell r="P1749">
            <v>0</v>
          </cell>
          <cell r="Q1749">
            <v>0</v>
          </cell>
          <cell r="R1749">
            <v>43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1949.3333335302304</v>
          </cell>
          <cell r="Y1749">
            <v>0</v>
          </cell>
          <cell r="Z1749">
            <v>0</v>
          </cell>
        </row>
        <row r="1750">
          <cell r="C1750" t="str">
            <v>KIRKLARELİ</v>
          </cell>
          <cell r="D1750" t="str">
            <v>KIRKLARELİMERKEZ</v>
          </cell>
          <cell r="H1750" t="str">
            <v>Dağıtım-OG</v>
          </cell>
          <cell r="I1750" t="str">
            <v>Uzun</v>
          </cell>
          <cell r="J1750" t="str">
            <v>Şebeke işletmecisi</v>
          </cell>
          <cell r="K1750" t="str">
            <v>Bildirimsiz</v>
          </cell>
          <cell r="O1750">
            <v>0</v>
          </cell>
          <cell r="P1750">
            <v>0</v>
          </cell>
          <cell r="Q1750">
            <v>5</v>
          </cell>
          <cell r="R1750">
            <v>0</v>
          </cell>
          <cell r="S1750">
            <v>9</v>
          </cell>
          <cell r="T1750">
            <v>668</v>
          </cell>
          <cell r="U1750">
            <v>0</v>
          </cell>
          <cell r="V1750">
            <v>0</v>
          </cell>
          <cell r="W1750">
            <v>226.41666668350808</v>
          </cell>
          <cell r="X1750">
            <v>0</v>
          </cell>
          <cell r="Y1750">
            <v>407.55000003031455</v>
          </cell>
          <cell r="Z1750">
            <v>30249.26666891668</v>
          </cell>
        </row>
        <row r="1751">
          <cell r="C1751" t="str">
            <v>EDİRNE</v>
          </cell>
          <cell r="D1751" t="str">
            <v>HAVSA</v>
          </cell>
          <cell r="H1751" t="str">
            <v>Dağıtım-OG</v>
          </cell>
          <cell r="I1751" t="str">
            <v>Uzun</v>
          </cell>
          <cell r="J1751" t="str">
            <v>Şebeke işletmecisi</v>
          </cell>
          <cell r="K1751" t="str">
            <v>Bildirimsiz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5</v>
          </cell>
          <cell r="T1751">
            <v>1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226.41666668350808</v>
          </cell>
          <cell r="Z1751">
            <v>45.283333336701617</v>
          </cell>
        </row>
        <row r="1752">
          <cell r="C1752" t="str">
            <v>TEKİRDAĞ</v>
          </cell>
          <cell r="D1752" t="str">
            <v>SÜLEYMANPAŞA</v>
          </cell>
          <cell r="H1752" t="str">
            <v>Dağıtım-AG</v>
          </cell>
          <cell r="I1752" t="str">
            <v>Uzun</v>
          </cell>
          <cell r="J1752" t="str">
            <v>Şebeke işletmecisi</v>
          </cell>
          <cell r="K1752" t="str">
            <v>Bildirimsiz</v>
          </cell>
          <cell r="O1752">
            <v>0</v>
          </cell>
          <cell r="P1752">
            <v>17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768.96666652522981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</row>
        <row r="1753">
          <cell r="C1753" t="str">
            <v>TEKİRDAĞ</v>
          </cell>
          <cell r="D1753" t="str">
            <v>MARMARAEREĞLİSİ</v>
          </cell>
          <cell r="H1753" t="str">
            <v>Dağıtım-AG</v>
          </cell>
          <cell r="I1753" t="str">
            <v>Uzun</v>
          </cell>
          <cell r="J1753" t="str">
            <v>Şebeke İşletmecisi</v>
          </cell>
          <cell r="K1753" t="str">
            <v>Bildirimsiz</v>
          </cell>
          <cell r="O1753">
            <v>0</v>
          </cell>
          <cell r="P1753">
            <v>0</v>
          </cell>
          <cell r="Q1753">
            <v>0</v>
          </cell>
          <cell r="R1753">
            <v>8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361.59999995492399</v>
          </cell>
          <cell r="Y1753">
            <v>0</v>
          </cell>
          <cell r="Z1753">
            <v>0</v>
          </cell>
        </row>
        <row r="1754">
          <cell r="C1754" t="str">
            <v>TEKİRDAĞ</v>
          </cell>
          <cell r="D1754" t="str">
            <v>SÜLEYMANPAŞA</v>
          </cell>
          <cell r="H1754" t="str">
            <v>Dağıtım-AG</v>
          </cell>
          <cell r="I1754" t="str">
            <v>Uzun</v>
          </cell>
          <cell r="J1754" t="str">
            <v>Şebeke işletmecisi</v>
          </cell>
          <cell r="K1754" t="str">
            <v>Bildirimsiz</v>
          </cell>
          <cell r="O1754">
            <v>0</v>
          </cell>
          <cell r="P1754">
            <v>79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3562.9000001912937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</row>
        <row r="1755">
          <cell r="C1755" t="str">
            <v>KIRKLARELİ</v>
          </cell>
          <cell r="D1755" t="str">
            <v>BABAESKİ</v>
          </cell>
          <cell r="H1755" t="str">
            <v>Dağıtım-AG</v>
          </cell>
          <cell r="I1755" t="str">
            <v>Uzun</v>
          </cell>
          <cell r="J1755" t="str">
            <v>Şebeke işletmecisi</v>
          </cell>
          <cell r="K1755" t="str">
            <v>Bildirimsiz</v>
          </cell>
          <cell r="O1755">
            <v>0</v>
          </cell>
          <cell r="P1755">
            <v>192</v>
          </cell>
          <cell r="Q1755">
            <v>0</v>
          </cell>
          <cell r="R1755">
            <v>0</v>
          </cell>
          <cell r="S1755">
            <v>0</v>
          </cell>
          <cell r="T1755">
            <v>1</v>
          </cell>
          <cell r="U1755">
            <v>0</v>
          </cell>
          <cell r="V1755">
            <v>8649.5999982208014</v>
          </cell>
          <cell r="W1755">
            <v>0</v>
          </cell>
          <cell r="X1755">
            <v>0</v>
          </cell>
          <cell r="Y1755">
            <v>0</v>
          </cell>
          <cell r="Z1755">
            <v>45.04999999073334</v>
          </cell>
        </row>
        <row r="1756">
          <cell r="C1756" t="str">
            <v>TEKİRDAĞ</v>
          </cell>
          <cell r="D1756" t="str">
            <v>MALKARA</v>
          </cell>
          <cell r="H1756" t="str">
            <v>Dağıtım-AG</v>
          </cell>
          <cell r="I1756" t="str">
            <v>Uzun</v>
          </cell>
          <cell r="J1756" t="str">
            <v>Şebeke işletmecisi</v>
          </cell>
          <cell r="K1756" t="str">
            <v>Bildirimsiz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4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180.13333332259208</v>
          </cell>
        </row>
        <row r="1757">
          <cell r="C1757" t="str">
            <v>KIRKLARELİ</v>
          </cell>
          <cell r="D1757" t="str">
            <v>PINARHİSAR</v>
          </cell>
          <cell r="H1757" t="str">
            <v>Dağıtım-AG</v>
          </cell>
          <cell r="I1757" t="str">
            <v>Uzun</v>
          </cell>
          <cell r="J1757" t="str">
            <v>Şebeke işletmecisi</v>
          </cell>
          <cell r="K1757" t="str">
            <v>Bildirimsiz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106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4770</v>
          </cell>
        </row>
        <row r="1758">
          <cell r="C1758" t="str">
            <v>TEKİRDAĞ</v>
          </cell>
          <cell r="D1758" t="str">
            <v>MALKARA</v>
          </cell>
          <cell r="H1758" t="str">
            <v>Dağıtım-AG</v>
          </cell>
          <cell r="I1758" t="str">
            <v>Uzun</v>
          </cell>
          <cell r="J1758" t="str">
            <v>Şebeke işletmecisi</v>
          </cell>
          <cell r="K1758" t="str">
            <v>Bildirimsiz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5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224.8333333467599</v>
          </cell>
        </row>
        <row r="1759">
          <cell r="C1759" t="str">
            <v>KIRKLARELİ</v>
          </cell>
          <cell r="D1759" t="str">
            <v>DEMİRKÖY</v>
          </cell>
          <cell r="H1759" t="str">
            <v>Dağıtım-AG</v>
          </cell>
          <cell r="I1759" t="str">
            <v>Uzun</v>
          </cell>
          <cell r="J1759" t="str">
            <v>Şebeke işletmecisi</v>
          </cell>
          <cell r="K1759" t="str">
            <v>Bildirimsiz</v>
          </cell>
          <cell r="O1759">
            <v>0</v>
          </cell>
          <cell r="P1759">
            <v>0</v>
          </cell>
          <cell r="Q1759">
            <v>0</v>
          </cell>
          <cell r="R1759">
            <v>2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89.86666667740792</v>
          </cell>
          <cell r="Y1759">
            <v>0</v>
          </cell>
          <cell r="Z1759">
            <v>0</v>
          </cell>
        </row>
        <row r="1760">
          <cell r="C1760" t="str">
            <v>EDİRNE</v>
          </cell>
          <cell r="D1760" t="str">
            <v>EDİRNEMERKEZ</v>
          </cell>
          <cell r="H1760" t="str">
            <v>Dağıtım-AG</v>
          </cell>
          <cell r="I1760" t="str">
            <v>Uzun</v>
          </cell>
          <cell r="J1760" t="str">
            <v>Şebeke işletmecisi</v>
          </cell>
          <cell r="K1760" t="str">
            <v>Bildirimsiz</v>
          </cell>
          <cell r="O1760">
            <v>0</v>
          </cell>
          <cell r="P1760">
            <v>82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3683.1666667875834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</row>
        <row r="1761">
          <cell r="C1761" t="str">
            <v>TEKİRDAĞ</v>
          </cell>
          <cell r="D1761" t="str">
            <v>ERGENE</v>
          </cell>
          <cell r="H1761" t="str">
            <v>Dağıtım-AG</v>
          </cell>
          <cell r="I1761" t="str">
            <v>Uzun</v>
          </cell>
          <cell r="J1761" t="str">
            <v>Şebeke işletmecisi</v>
          </cell>
          <cell r="K1761" t="str">
            <v>Bildirimsiz</v>
          </cell>
          <cell r="O1761">
            <v>0</v>
          </cell>
          <cell r="P1761">
            <v>80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3593.3333334513009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</row>
        <row r="1762">
          <cell r="C1762" t="str">
            <v>KIRKLARELİ</v>
          </cell>
          <cell r="D1762" t="str">
            <v>BABAESKİ</v>
          </cell>
          <cell r="H1762" t="str">
            <v>Dağıtım-OG</v>
          </cell>
          <cell r="I1762" t="str">
            <v>Uzun</v>
          </cell>
          <cell r="J1762" t="str">
            <v>Şebeke İşletmecisi</v>
          </cell>
          <cell r="K1762" t="str">
            <v>Bildirimsiz</v>
          </cell>
          <cell r="O1762">
            <v>0</v>
          </cell>
          <cell r="P1762">
            <v>703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31564.699998297729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</row>
        <row r="1763">
          <cell r="C1763" t="str">
            <v>KIRKLARELİ</v>
          </cell>
          <cell r="D1763" t="str">
            <v>KIRKLARELİMERKEZ</v>
          </cell>
          <cell r="H1763" t="str">
            <v>Dağıtım-OG</v>
          </cell>
          <cell r="I1763" t="str">
            <v>Uzun</v>
          </cell>
          <cell r="J1763" t="str">
            <v>Şebeke işletmecisi</v>
          </cell>
          <cell r="K1763" t="str">
            <v>Bildirimsiz</v>
          </cell>
          <cell r="O1763">
            <v>1</v>
          </cell>
          <cell r="P1763">
            <v>0</v>
          </cell>
          <cell r="Q1763">
            <v>0</v>
          </cell>
          <cell r="R1763">
            <v>0</v>
          </cell>
          <cell r="S1763">
            <v>19</v>
          </cell>
          <cell r="T1763">
            <v>1112</v>
          </cell>
          <cell r="U1763">
            <v>44.866666666930541</v>
          </cell>
          <cell r="V1763">
            <v>0</v>
          </cell>
          <cell r="W1763">
            <v>0</v>
          </cell>
          <cell r="X1763">
            <v>0</v>
          </cell>
          <cell r="Y1763">
            <v>852.46666667168029</v>
          </cell>
          <cell r="Z1763">
            <v>49891.733333626762</v>
          </cell>
        </row>
        <row r="1764">
          <cell r="C1764" t="str">
            <v>EDİRNE</v>
          </cell>
          <cell r="D1764" t="str">
            <v>HAVSA</v>
          </cell>
          <cell r="H1764" t="str">
            <v>Dağıtım-AG</v>
          </cell>
          <cell r="I1764" t="str">
            <v>Uzun</v>
          </cell>
          <cell r="J1764" t="str">
            <v>Şebeke işletmecisi</v>
          </cell>
          <cell r="K1764" t="str">
            <v>Bildirimsiz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66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2960.0999997602776</v>
          </cell>
        </row>
        <row r="1765">
          <cell r="C1765" t="str">
            <v>TEKİRDAĞ</v>
          </cell>
          <cell r="D1765" t="str">
            <v>SARAY</v>
          </cell>
          <cell r="H1765" t="str">
            <v>Dağıtım-AG</v>
          </cell>
          <cell r="I1765" t="str">
            <v>Uzun</v>
          </cell>
          <cell r="J1765" t="str">
            <v>Şebeke işletmecisi</v>
          </cell>
          <cell r="K1765" t="str">
            <v>Bildirimsiz</v>
          </cell>
          <cell r="O1765">
            <v>0</v>
          </cell>
          <cell r="P1765">
            <v>0</v>
          </cell>
          <cell r="Q1765">
            <v>0</v>
          </cell>
          <cell r="R1765">
            <v>3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134.54999998910353</v>
          </cell>
          <cell r="Y1765">
            <v>0</v>
          </cell>
          <cell r="Z1765">
            <v>0</v>
          </cell>
        </row>
        <row r="1766">
          <cell r="C1766" t="str">
            <v>TEKİRDAĞ</v>
          </cell>
          <cell r="D1766" t="str">
            <v>ŞARKÖY</v>
          </cell>
          <cell r="H1766" t="str">
            <v>Dağıtım-OG</v>
          </cell>
          <cell r="I1766" t="str">
            <v>Uzun</v>
          </cell>
          <cell r="J1766" t="str">
            <v>Şebeke işletmecisi</v>
          </cell>
          <cell r="K1766" t="str">
            <v>Bildirimsiz</v>
          </cell>
          <cell r="O1766">
            <v>0</v>
          </cell>
          <cell r="P1766">
            <v>0</v>
          </cell>
          <cell r="Q1766">
            <v>3</v>
          </cell>
          <cell r="R1766">
            <v>24</v>
          </cell>
          <cell r="S1766">
            <v>4</v>
          </cell>
          <cell r="T1766">
            <v>596</v>
          </cell>
          <cell r="U1766">
            <v>0</v>
          </cell>
          <cell r="V1766">
            <v>0</v>
          </cell>
          <cell r="W1766">
            <v>134.50000000884756</v>
          </cell>
          <cell r="X1766">
            <v>1076.0000000707805</v>
          </cell>
          <cell r="Y1766">
            <v>179.33333334513009</v>
          </cell>
          <cell r="Z1766">
            <v>26720.666668424383</v>
          </cell>
        </row>
        <row r="1767">
          <cell r="C1767" t="str">
            <v>TEKİRDAĞ</v>
          </cell>
          <cell r="D1767" t="str">
            <v>KAPAKLI</v>
          </cell>
          <cell r="H1767" t="str">
            <v>Dağıtım-OG</v>
          </cell>
          <cell r="I1767" t="str">
            <v>Uzun</v>
          </cell>
          <cell r="J1767" t="str">
            <v>Şebeke işletmecisi</v>
          </cell>
          <cell r="K1767" t="str">
            <v>Bildirimli</v>
          </cell>
          <cell r="O1767">
            <v>2</v>
          </cell>
          <cell r="P1767">
            <v>994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89.666666651610285</v>
          </cell>
          <cell r="V1767">
            <v>44564.333325850312</v>
          </cell>
          <cell r="W1767">
            <v>0</v>
          </cell>
          <cell r="X1767">
            <v>0</v>
          </cell>
          <cell r="Y1767">
            <v>0</v>
          </cell>
          <cell r="Z1767">
            <v>0</v>
          </cell>
        </row>
        <row r="1768">
          <cell r="C1768" t="str">
            <v>EDİRNE</v>
          </cell>
          <cell r="D1768" t="str">
            <v>EDİRNEMERKEZ</v>
          </cell>
          <cell r="H1768" t="str">
            <v>Dağıtım-OG</v>
          </cell>
          <cell r="I1768" t="str">
            <v>Uzun</v>
          </cell>
          <cell r="J1768" t="str">
            <v>Şebeke işletmecisi</v>
          </cell>
          <cell r="K1768" t="str">
            <v>Bildirimsiz</v>
          </cell>
          <cell r="O1768">
            <v>1</v>
          </cell>
          <cell r="P1768">
            <v>1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44.766666664509103</v>
          </cell>
          <cell r="V1768">
            <v>44.766666664509103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</row>
        <row r="1769">
          <cell r="C1769" t="str">
            <v>EDİRNE</v>
          </cell>
          <cell r="D1769" t="str">
            <v>EDİRNEMERKEZ</v>
          </cell>
          <cell r="H1769" t="str">
            <v>Dağıtım-OG</v>
          </cell>
          <cell r="I1769" t="str">
            <v>Uzun</v>
          </cell>
          <cell r="J1769" t="str">
            <v>Şebeke işletmecisi</v>
          </cell>
          <cell r="K1769" t="str">
            <v>Bildirimsiz</v>
          </cell>
          <cell r="O1769">
            <v>3</v>
          </cell>
          <cell r="P1769">
            <v>847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134.09999997820705</v>
          </cell>
          <cell r="V1769">
            <v>37860.899993847124</v>
          </cell>
          <cell r="W1769">
            <v>0</v>
          </cell>
          <cell r="X1769">
            <v>0</v>
          </cell>
          <cell r="Y1769">
            <v>0</v>
          </cell>
          <cell r="Z1769">
            <v>0</v>
          </cell>
        </row>
        <row r="1770">
          <cell r="C1770" t="str">
            <v>KIRKLARELİ</v>
          </cell>
          <cell r="D1770" t="str">
            <v>VİZE</v>
          </cell>
          <cell r="H1770" t="str">
            <v>Dağıtım-OG</v>
          </cell>
          <cell r="I1770" t="str">
            <v>Uzun</v>
          </cell>
          <cell r="J1770" t="str">
            <v>Şebeke işletmecisi</v>
          </cell>
          <cell r="K1770" t="str">
            <v>Bildirimsiz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1</v>
          </cell>
          <cell r="T1770">
            <v>183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44.633333331439644</v>
          </cell>
          <cell r="Z1770">
            <v>8167.8999996534549</v>
          </cell>
        </row>
        <row r="1771">
          <cell r="C1771" t="str">
            <v>KIRKLARELİ</v>
          </cell>
          <cell r="D1771" t="str">
            <v>VİZE</v>
          </cell>
          <cell r="H1771" t="str">
            <v>Dağıtım-AG</v>
          </cell>
          <cell r="I1771" t="str">
            <v>Uzun</v>
          </cell>
          <cell r="J1771" t="str">
            <v>Şebeke işletmecisi</v>
          </cell>
          <cell r="K1771" t="str">
            <v>Bildirimsiz</v>
          </cell>
          <cell r="O1771">
            <v>0</v>
          </cell>
          <cell r="P1771">
            <v>0</v>
          </cell>
          <cell r="Q1771">
            <v>0</v>
          </cell>
          <cell r="R1771">
            <v>105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4676.0000006470364</v>
          </cell>
          <cell r="Y1771">
            <v>0</v>
          </cell>
          <cell r="Z1771">
            <v>0</v>
          </cell>
        </row>
        <row r="1772">
          <cell r="C1772" t="str">
            <v>EDİRNE</v>
          </cell>
          <cell r="D1772" t="str">
            <v>HAVSA</v>
          </cell>
          <cell r="H1772" t="str">
            <v>Dağıtım-OG</v>
          </cell>
          <cell r="I1772" t="str">
            <v>Uzun</v>
          </cell>
          <cell r="J1772" t="str">
            <v>Şebeke İşletmecisi</v>
          </cell>
          <cell r="K1772" t="str">
            <v>Bildirimsiz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263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11620.216666058404</v>
          </cell>
        </row>
        <row r="1773">
          <cell r="C1773" t="str">
            <v>EDİRNE</v>
          </cell>
          <cell r="D1773" t="str">
            <v>HAVSA</v>
          </cell>
          <cell r="H1773" t="str">
            <v>Dağıtım-OG</v>
          </cell>
          <cell r="I1773" t="str">
            <v>Uzun</v>
          </cell>
          <cell r="J1773" t="str">
            <v>Şebeke işletmecisi</v>
          </cell>
          <cell r="K1773" t="str">
            <v>Bildirimsiz</v>
          </cell>
          <cell r="O1773">
            <v>5</v>
          </cell>
          <cell r="P1773">
            <v>0</v>
          </cell>
          <cell r="Q1773">
            <v>3</v>
          </cell>
          <cell r="R1773">
            <v>1</v>
          </cell>
          <cell r="S1773">
            <v>14</v>
          </cell>
          <cell r="T1773">
            <v>663</v>
          </cell>
          <cell r="U1773">
            <v>220.66666670143604</v>
          </cell>
          <cell r="V1773">
            <v>0</v>
          </cell>
          <cell r="W1773">
            <v>132.40000002086163</v>
          </cell>
          <cell r="X1773">
            <v>44.133333340287209</v>
          </cell>
          <cell r="Y1773">
            <v>617.86666676402092</v>
          </cell>
          <cell r="Z1773">
            <v>29260.400004610419</v>
          </cell>
        </row>
        <row r="1774">
          <cell r="C1774" t="str">
            <v>KIRKLARELİ</v>
          </cell>
          <cell r="D1774" t="str">
            <v>KIRKLARELİMERKEZ</v>
          </cell>
          <cell r="H1774" t="str">
            <v>Dağıtım-OG</v>
          </cell>
          <cell r="I1774" t="str">
            <v>Uzun</v>
          </cell>
          <cell r="J1774" t="str">
            <v>Şebeke işletmecisi</v>
          </cell>
          <cell r="K1774" t="str">
            <v>Bildirimsiz</v>
          </cell>
          <cell r="O1774">
            <v>0</v>
          </cell>
          <cell r="P1774">
            <v>1517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66950.266661321511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</row>
        <row r="1775">
          <cell r="C1775" t="str">
            <v>KIRKLARELİ</v>
          </cell>
          <cell r="D1775" t="str">
            <v>LÜLEBURGAZ</v>
          </cell>
          <cell r="H1775" t="str">
            <v>Dağıtım-AG</v>
          </cell>
          <cell r="I1775" t="str">
            <v>Uzun</v>
          </cell>
          <cell r="J1775" t="str">
            <v>Şebeke işletmecisi</v>
          </cell>
          <cell r="K1775" t="str">
            <v>Bildirimsiz</v>
          </cell>
          <cell r="O1775">
            <v>0</v>
          </cell>
          <cell r="P1775">
            <v>0</v>
          </cell>
          <cell r="Q1775">
            <v>0</v>
          </cell>
          <cell r="R1775">
            <v>3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132.25000001722947</v>
          </cell>
          <cell r="Y1775">
            <v>0</v>
          </cell>
          <cell r="Z1775">
            <v>0</v>
          </cell>
        </row>
        <row r="1776">
          <cell r="C1776" t="str">
            <v>EDİRNE</v>
          </cell>
          <cell r="D1776" t="str">
            <v>EDİRNEMERKEZ</v>
          </cell>
          <cell r="H1776" t="str">
            <v>Dağıtım-OG</v>
          </cell>
          <cell r="I1776" t="str">
            <v>Uzun</v>
          </cell>
          <cell r="J1776" t="str">
            <v>Şebeke İşletmecisi</v>
          </cell>
          <cell r="K1776" t="str">
            <v>Bildirimsiz</v>
          </cell>
          <cell r="O1776">
            <v>6</v>
          </cell>
          <cell r="P1776">
            <v>3065</v>
          </cell>
          <cell r="Q1776">
            <v>0</v>
          </cell>
          <cell r="R1776">
            <v>0</v>
          </cell>
          <cell r="S1776">
            <v>2</v>
          </cell>
          <cell r="T1776">
            <v>1</v>
          </cell>
          <cell r="U1776">
            <v>264.39999994821846</v>
          </cell>
          <cell r="V1776">
            <v>135064.3333068816</v>
          </cell>
          <cell r="W1776">
            <v>0</v>
          </cell>
          <cell r="X1776">
            <v>0</v>
          </cell>
          <cell r="Y1776">
            <v>88.133333316072822</v>
          </cell>
          <cell r="Z1776">
            <v>44.066666658036411</v>
          </cell>
        </row>
        <row r="1777">
          <cell r="C1777" t="str">
            <v>TEKİRDAĞ</v>
          </cell>
          <cell r="D1777" t="str">
            <v>SARAY</v>
          </cell>
          <cell r="H1777" t="str">
            <v>Dağıtım-AG</v>
          </cell>
          <cell r="I1777" t="str">
            <v>Uzun</v>
          </cell>
          <cell r="J1777" t="str">
            <v>Şebeke işletmecisi</v>
          </cell>
          <cell r="K1777" t="str">
            <v>Bildirimsiz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1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43.999999996740371</v>
          </cell>
        </row>
        <row r="1778">
          <cell r="C1778" t="str">
            <v>KIRKLARELİ</v>
          </cell>
          <cell r="D1778" t="str">
            <v>LÜLEBURGAZ</v>
          </cell>
          <cell r="H1778" t="str">
            <v>Dağıtım-AG</v>
          </cell>
          <cell r="I1778" t="str">
            <v>Uzun</v>
          </cell>
          <cell r="J1778" t="str">
            <v>Şebeke işletmecisi</v>
          </cell>
          <cell r="K1778" t="str">
            <v>Bildirimsiz</v>
          </cell>
          <cell r="O1778">
            <v>0</v>
          </cell>
          <cell r="P1778">
            <v>0</v>
          </cell>
          <cell r="Q1778">
            <v>0</v>
          </cell>
          <cell r="R1778">
            <v>108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4746.5999995172024</v>
          </cell>
          <cell r="Y1778">
            <v>0</v>
          </cell>
          <cell r="Z1778">
            <v>0</v>
          </cell>
        </row>
        <row r="1779">
          <cell r="C1779" t="str">
            <v>KIRKLARELİ</v>
          </cell>
          <cell r="D1779" t="str">
            <v>DEMİRKÖY</v>
          </cell>
          <cell r="H1779" t="str">
            <v>Dağıtım-OG</v>
          </cell>
          <cell r="I1779" t="str">
            <v>Uzun</v>
          </cell>
          <cell r="J1779" t="str">
            <v>Şebeke işletmecisi</v>
          </cell>
          <cell r="K1779" t="str">
            <v>Bildirimsiz</v>
          </cell>
          <cell r="O1779">
            <v>0</v>
          </cell>
          <cell r="P1779">
            <v>0</v>
          </cell>
          <cell r="Q1779">
            <v>1</v>
          </cell>
          <cell r="R1779">
            <v>11</v>
          </cell>
          <cell r="S1779">
            <v>3</v>
          </cell>
          <cell r="T1779">
            <v>440</v>
          </cell>
          <cell r="U1779">
            <v>0</v>
          </cell>
          <cell r="V1779">
            <v>0</v>
          </cell>
          <cell r="W1779">
            <v>43.916666664881632</v>
          </cell>
          <cell r="X1779">
            <v>483.08333331369795</v>
          </cell>
          <cell r="Y1779">
            <v>131.7499999946449</v>
          </cell>
          <cell r="Z1779">
            <v>19323.333332547918</v>
          </cell>
        </row>
        <row r="1780">
          <cell r="C1780" t="str">
            <v>TEKİRDAĞ</v>
          </cell>
          <cell r="D1780" t="str">
            <v>ŞARKÖY</v>
          </cell>
          <cell r="H1780" t="str">
            <v>Dağıtım-OG</v>
          </cell>
          <cell r="I1780" t="str">
            <v>Uzun</v>
          </cell>
          <cell r="J1780" t="str">
            <v>Şebeke işletmecisi</v>
          </cell>
          <cell r="K1780" t="str">
            <v>Bildirimli</v>
          </cell>
          <cell r="O1780">
            <v>0</v>
          </cell>
          <cell r="P1780">
            <v>0</v>
          </cell>
          <cell r="Q1780">
            <v>0</v>
          </cell>
          <cell r="R1780">
            <v>63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2765.6999996420927</v>
          </cell>
          <cell r="Y1780">
            <v>0</v>
          </cell>
          <cell r="Z1780">
            <v>0</v>
          </cell>
        </row>
        <row r="1781">
          <cell r="C1781" t="str">
            <v>TEKİRDAĞ</v>
          </cell>
          <cell r="D1781" t="str">
            <v>SÜLEYMANPAŞA</v>
          </cell>
          <cell r="H1781" t="str">
            <v>Dağıtım-AG</v>
          </cell>
          <cell r="I1781" t="str">
            <v>Uzun</v>
          </cell>
          <cell r="J1781" t="str">
            <v>Şebeke işletmecisi</v>
          </cell>
          <cell r="K1781" t="str">
            <v>Bildirimsiz</v>
          </cell>
          <cell r="O1781">
            <v>0</v>
          </cell>
          <cell r="P1781">
            <v>491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21538.533337006811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</row>
        <row r="1782">
          <cell r="C1782" t="str">
            <v>KIRKLARELİ</v>
          </cell>
          <cell r="D1782" t="str">
            <v>LÜLEBURGAZ</v>
          </cell>
          <cell r="H1782" t="str">
            <v>Dağıtım-OG</v>
          </cell>
          <cell r="I1782" t="str">
            <v>Uzun</v>
          </cell>
          <cell r="J1782" t="str">
            <v>Şebeke İşletmecisi</v>
          </cell>
          <cell r="K1782" t="str">
            <v>Bildirimsiz</v>
          </cell>
          <cell r="O1782">
            <v>1</v>
          </cell>
          <cell r="P1782">
            <v>0</v>
          </cell>
          <cell r="Q1782">
            <v>0</v>
          </cell>
          <cell r="R1782">
            <v>0</v>
          </cell>
          <cell r="S1782">
            <v>9</v>
          </cell>
          <cell r="T1782">
            <v>676</v>
          </cell>
          <cell r="U1782">
            <v>43.833333333022892</v>
          </cell>
          <cell r="V1782">
            <v>0</v>
          </cell>
          <cell r="W1782">
            <v>0</v>
          </cell>
          <cell r="X1782">
            <v>0</v>
          </cell>
          <cell r="Y1782">
            <v>394.49999999720603</v>
          </cell>
          <cell r="Z1782">
            <v>29631.333333123475</v>
          </cell>
        </row>
        <row r="1783">
          <cell r="C1783" t="str">
            <v>TEKİRDAĞ</v>
          </cell>
          <cell r="D1783" t="str">
            <v>KAPAKLI</v>
          </cell>
          <cell r="H1783" t="str">
            <v>Dağıtım-OG</v>
          </cell>
          <cell r="I1783" t="str">
            <v>Uzun</v>
          </cell>
          <cell r="J1783" t="str">
            <v>Şebeke İşletmecisi</v>
          </cell>
          <cell r="K1783" t="str">
            <v>Bildirimsiz</v>
          </cell>
          <cell r="O1783">
            <v>7</v>
          </cell>
          <cell r="P1783">
            <v>307</v>
          </cell>
          <cell r="Q1783">
            <v>0</v>
          </cell>
          <cell r="R1783">
            <v>0</v>
          </cell>
          <cell r="S1783">
            <v>2</v>
          </cell>
          <cell r="T1783">
            <v>317</v>
          </cell>
          <cell r="U1783">
            <v>306.71666663722135</v>
          </cell>
          <cell r="V1783">
            <v>13451.716665375279</v>
          </cell>
          <cell r="W1783">
            <v>0</v>
          </cell>
          <cell r="X1783">
            <v>0</v>
          </cell>
          <cell r="Y1783">
            <v>87.633333324920386</v>
          </cell>
          <cell r="Z1783">
            <v>13889.883331999881</v>
          </cell>
        </row>
        <row r="1784">
          <cell r="C1784" t="str">
            <v>EDİRNE</v>
          </cell>
          <cell r="D1784" t="str">
            <v>UZUNKÖPRÜ</v>
          </cell>
          <cell r="H1784" t="str">
            <v>Dağıtım-OG</v>
          </cell>
          <cell r="I1784" t="str">
            <v>Uzun</v>
          </cell>
          <cell r="J1784" t="str">
            <v>Şebeke işletmecisi</v>
          </cell>
          <cell r="K1784" t="str">
            <v>Bildirimsiz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389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17018.750000452856</v>
          </cell>
        </row>
        <row r="1785">
          <cell r="C1785" t="str">
            <v>KIRKLARELİ</v>
          </cell>
          <cell r="D1785" t="str">
            <v>LÜLEBURGAZ</v>
          </cell>
          <cell r="H1785" t="str">
            <v>Dağıtım-AG</v>
          </cell>
          <cell r="I1785" t="str">
            <v>Uzun</v>
          </cell>
          <cell r="J1785" t="str">
            <v>Şebeke işletmecisi</v>
          </cell>
          <cell r="K1785" t="str">
            <v>Bildirimsiz</v>
          </cell>
          <cell r="O1785">
            <v>0</v>
          </cell>
          <cell r="P1785">
            <v>17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742.89999999920838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</row>
        <row r="1786">
          <cell r="C1786" t="str">
            <v>TEKİRDAĞ</v>
          </cell>
          <cell r="D1786" t="str">
            <v>SÜLEYMANPAŞA</v>
          </cell>
          <cell r="H1786" t="str">
            <v>Dağıtım-OG</v>
          </cell>
          <cell r="I1786" t="str">
            <v>Uzun</v>
          </cell>
          <cell r="J1786" t="str">
            <v>Şebeke işletmecisi</v>
          </cell>
          <cell r="K1786" t="str">
            <v>Bildirimsiz</v>
          </cell>
          <cell r="O1786">
            <v>0</v>
          </cell>
          <cell r="P1786">
            <v>1246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54387.900011488236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</row>
        <row r="1787">
          <cell r="C1787" t="str">
            <v>KIRKLARELİ</v>
          </cell>
          <cell r="D1787" t="str">
            <v>KIRKLARELİMERKEZ</v>
          </cell>
          <cell r="H1787" t="str">
            <v>Dağıtım-OG</v>
          </cell>
          <cell r="I1787" t="str">
            <v>Uzun</v>
          </cell>
          <cell r="J1787" t="str">
            <v>Şebeke işletmecisi</v>
          </cell>
          <cell r="K1787" t="str">
            <v>Bildirimli</v>
          </cell>
          <cell r="O1787">
            <v>0</v>
          </cell>
          <cell r="P1787">
            <v>1336</v>
          </cell>
          <cell r="Q1787">
            <v>0</v>
          </cell>
          <cell r="R1787">
            <v>0</v>
          </cell>
          <cell r="S1787">
            <v>0</v>
          </cell>
          <cell r="T1787">
            <v>1</v>
          </cell>
          <cell r="U1787">
            <v>0</v>
          </cell>
          <cell r="V1787">
            <v>58316.399998320267</v>
          </cell>
          <cell r="W1787">
            <v>0</v>
          </cell>
          <cell r="X1787">
            <v>0</v>
          </cell>
          <cell r="Y1787">
            <v>0</v>
          </cell>
          <cell r="Z1787">
            <v>43.649999998742715</v>
          </cell>
        </row>
        <row r="1788">
          <cell r="C1788" t="str">
            <v>EDİRNE</v>
          </cell>
          <cell r="D1788" t="str">
            <v>ENEZ</v>
          </cell>
          <cell r="H1788" t="str">
            <v>Dağıtım-AG</v>
          </cell>
          <cell r="I1788" t="str">
            <v>Uzun</v>
          </cell>
          <cell r="J1788" t="str">
            <v>Şebeke işletmecisi</v>
          </cell>
          <cell r="K1788" t="str">
            <v>Bildirimsiz</v>
          </cell>
          <cell r="O1788">
            <v>0</v>
          </cell>
          <cell r="P1788">
            <v>0</v>
          </cell>
          <cell r="Q1788">
            <v>0</v>
          </cell>
          <cell r="R1788">
            <v>6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261.40000000130385</v>
          </cell>
          <cell r="Y1788">
            <v>0</v>
          </cell>
          <cell r="Z1788">
            <v>0</v>
          </cell>
        </row>
        <row r="1789">
          <cell r="C1789" t="str">
            <v>KIRKLARELİ</v>
          </cell>
          <cell r="D1789" t="str">
            <v>LÜLEBURGAZ</v>
          </cell>
          <cell r="H1789" t="str">
            <v>Dağıtım-AG</v>
          </cell>
          <cell r="I1789" t="str">
            <v>Uzun</v>
          </cell>
          <cell r="J1789" t="str">
            <v>Şebeke işletmecisi</v>
          </cell>
          <cell r="K1789" t="str">
            <v>Bildirimsiz</v>
          </cell>
          <cell r="O1789">
            <v>0</v>
          </cell>
          <cell r="P1789">
            <v>33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1437.1500002243556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</row>
        <row r="1790">
          <cell r="C1790" t="str">
            <v>KIRKLARELİ</v>
          </cell>
          <cell r="D1790" t="str">
            <v>LÜLEBURGAZ</v>
          </cell>
          <cell r="H1790" t="str">
            <v>Dağıtım-AG</v>
          </cell>
          <cell r="I1790" t="str">
            <v>Uzun</v>
          </cell>
          <cell r="J1790" t="str">
            <v>Şebeke işletmecisi</v>
          </cell>
          <cell r="K1790" t="str">
            <v>Bildirimsiz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9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391.79999993182719</v>
          </cell>
        </row>
        <row r="1791">
          <cell r="C1791" t="str">
            <v>KIRKLARELİ</v>
          </cell>
          <cell r="D1791" t="str">
            <v>LÜLEBURGAZ</v>
          </cell>
          <cell r="H1791" t="str">
            <v>Dağıtım-AG</v>
          </cell>
          <cell r="I1791" t="str">
            <v>Uzun</v>
          </cell>
          <cell r="J1791" t="str">
            <v>Şebeke işletmecisi</v>
          </cell>
          <cell r="K1791" t="str">
            <v>Bildirimsiz</v>
          </cell>
          <cell r="O1791">
            <v>0</v>
          </cell>
          <cell r="P1791">
            <v>33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1433.300000015879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</row>
        <row r="1792">
          <cell r="C1792" t="str">
            <v>KIRKLARELİ</v>
          </cell>
          <cell r="D1792" t="str">
            <v>BABAESKİ</v>
          </cell>
          <cell r="H1792" t="str">
            <v>Dağıtım-AG</v>
          </cell>
          <cell r="I1792" t="str">
            <v>Uzun</v>
          </cell>
          <cell r="J1792" t="str">
            <v>Şebeke işletmecisi</v>
          </cell>
          <cell r="K1792" t="str">
            <v>Bildirimsiz</v>
          </cell>
          <cell r="O1792">
            <v>0</v>
          </cell>
          <cell r="P1792">
            <v>0</v>
          </cell>
          <cell r="Q1792">
            <v>0</v>
          </cell>
          <cell r="R1792">
            <v>10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434.16666663251817</v>
          </cell>
          <cell r="Y1792">
            <v>0</v>
          </cell>
          <cell r="Z1792">
            <v>0</v>
          </cell>
        </row>
        <row r="1793">
          <cell r="C1793" t="str">
            <v>EDİRNE</v>
          </cell>
          <cell r="D1793" t="str">
            <v>UZUNKÖPRÜ</v>
          </cell>
          <cell r="H1793" t="str">
            <v>Dağıtım-AG</v>
          </cell>
          <cell r="I1793" t="str">
            <v>Uzun</v>
          </cell>
          <cell r="J1793" t="str">
            <v>Şebeke işletmecisi</v>
          </cell>
          <cell r="K1793" t="str">
            <v>Bildirimsiz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94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4079.6000002976507</v>
          </cell>
        </row>
        <row r="1794">
          <cell r="C1794" t="str">
            <v>TEKİRDAĞ</v>
          </cell>
          <cell r="D1794" t="str">
            <v>SÜLEYMANPAŞA</v>
          </cell>
          <cell r="H1794" t="str">
            <v>Dağıtım-AG</v>
          </cell>
          <cell r="I1794" t="str">
            <v>Uzun</v>
          </cell>
          <cell r="J1794" t="str">
            <v>Şebeke işletmecisi</v>
          </cell>
          <cell r="K1794" t="str">
            <v>Bildirimsiz</v>
          </cell>
          <cell r="O1794">
            <v>0</v>
          </cell>
          <cell r="P1794">
            <v>1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43.399999992689118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</row>
        <row r="1795">
          <cell r="C1795" t="str">
            <v>KIRKLARELİ</v>
          </cell>
          <cell r="D1795" t="str">
            <v>BABAESKİ</v>
          </cell>
          <cell r="H1795" t="str">
            <v>Dağıtım-AG</v>
          </cell>
          <cell r="I1795" t="str">
            <v>Uzun</v>
          </cell>
          <cell r="J1795" t="str">
            <v>Şebeke işletmecisi</v>
          </cell>
          <cell r="K1795" t="str">
            <v>Bildirimsiz</v>
          </cell>
          <cell r="O1795">
            <v>0</v>
          </cell>
          <cell r="P1795">
            <v>60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2601.0000001173466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</row>
        <row r="1796">
          <cell r="C1796" t="str">
            <v>TEKİRDAĞ</v>
          </cell>
          <cell r="D1796" t="str">
            <v>KAPAKLI</v>
          </cell>
          <cell r="H1796" t="str">
            <v>Dağıtım-OG</v>
          </cell>
          <cell r="I1796" t="str">
            <v>Uzun</v>
          </cell>
          <cell r="J1796" t="str">
            <v>Şebeke işletmecisi</v>
          </cell>
          <cell r="K1796" t="str">
            <v>Bildirimsiz</v>
          </cell>
          <cell r="O1796">
            <v>1</v>
          </cell>
          <cell r="P1796">
            <v>600</v>
          </cell>
          <cell r="Q1796">
            <v>0</v>
          </cell>
          <cell r="R1796">
            <v>1</v>
          </cell>
          <cell r="S1796">
            <v>0</v>
          </cell>
          <cell r="T1796">
            <v>0</v>
          </cell>
          <cell r="U1796">
            <v>43.350000001955777</v>
          </cell>
          <cell r="V1796">
            <v>26010.000001173466</v>
          </cell>
          <cell r="W1796">
            <v>0</v>
          </cell>
          <cell r="X1796">
            <v>43.350000001955777</v>
          </cell>
          <cell r="Y1796">
            <v>0</v>
          </cell>
          <cell r="Z1796">
            <v>0</v>
          </cell>
        </row>
        <row r="1797">
          <cell r="C1797" t="str">
            <v>EDİRNE</v>
          </cell>
          <cell r="D1797" t="str">
            <v>UZUNKÖPRÜ</v>
          </cell>
          <cell r="H1797" t="str">
            <v>Dağıtım-AG</v>
          </cell>
          <cell r="I1797" t="str">
            <v>Uzun</v>
          </cell>
          <cell r="J1797" t="str">
            <v>Şebeke işletmecisi</v>
          </cell>
          <cell r="K1797" t="str">
            <v>Bildirimsiz</v>
          </cell>
          <cell r="O1797">
            <v>0</v>
          </cell>
          <cell r="P1797">
            <v>0</v>
          </cell>
          <cell r="Q1797">
            <v>0</v>
          </cell>
          <cell r="R1797">
            <v>74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3190.6333333184011</v>
          </cell>
          <cell r="Y1797">
            <v>0</v>
          </cell>
          <cell r="Z1797">
            <v>0</v>
          </cell>
        </row>
        <row r="1798">
          <cell r="C1798" t="str">
            <v>TEKİRDAĞ</v>
          </cell>
          <cell r="D1798" t="str">
            <v>ŞARKÖY</v>
          </cell>
          <cell r="H1798" t="str">
            <v>Dağıtım-AG</v>
          </cell>
          <cell r="I1798" t="str">
            <v>Uzun</v>
          </cell>
          <cell r="J1798" t="str">
            <v>Şebeke işletmecisi</v>
          </cell>
          <cell r="K1798" t="str">
            <v>Bildirimsiz</v>
          </cell>
          <cell r="O1798">
            <v>0</v>
          </cell>
          <cell r="P1798">
            <v>0</v>
          </cell>
          <cell r="Q1798">
            <v>0</v>
          </cell>
          <cell r="R1798">
            <v>1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43.000000003958121</v>
          </cell>
          <cell r="Y1798">
            <v>0</v>
          </cell>
          <cell r="Z1798">
            <v>0</v>
          </cell>
        </row>
        <row r="1799">
          <cell r="C1799" t="str">
            <v>EDİRNE</v>
          </cell>
          <cell r="D1799" t="str">
            <v>KEŞAN</v>
          </cell>
          <cell r="H1799" t="str">
            <v>Dağıtım-AG</v>
          </cell>
          <cell r="I1799" t="str">
            <v>Uzun</v>
          </cell>
          <cell r="J1799" t="str">
            <v>Şebeke işletmecisi</v>
          </cell>
          <cell r="K1799" t="str">
            <v>Bildirimsiz</v>
          </cell>
          <cell r="O1799">
            <v>0</v>
          </cell>
          <cell r="P1799">
            <v>46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1976.4666669722646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</row>
        <row r="1800">
          <cell r="C1800" t="str">
            <v>TEKİRDAĞ</v>
          </cell>
          <cell r="D1800" t="str">
            <v>SÜLEYMANPAŞA</v>
          </cell>
          <cell r="H1800" t="str">
            <v>Dağıtım-OG</v>
          </cell>
          <cell r="I1800" t="str">
            <v>Uzun</v>
          </cell>
          <cell r="J1800" t="str">
            <v>Şebeke işletmecisi</v>
          </cell>
          <cell r="K1800" t="str">
            <v>Bildirimsiz</v>
          </cell>
          <cell r="O1800">
            <v>1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42.933333332184702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</row>
        <row r="1801">
          <cell r="C1801" t="str">
            <v>TEKİRDAĞ</v>
          </cell>
          <cell r="D1801" t="str">
            <v>KAPAKLI</v>
          </cell>
          <cell r="H1801" t="str">
            <v>Dağıtım-OG</v>
          </cell>
          <cell r="I1801" t="str">
            <v>Uzun</v>
          </cell>
          <cell r="J1801" t="str">
            <v>Şebeke işletmecisi</v>
          </cell>
          <cell r="K1801" t="str">
            <v>Bildirimsiz</v>
          </cell>
          <cell r="O1801">
            <v>20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855.66666678059846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</row>
        <row r="1802">
          <cell r="C1802" t="str">
            <v>EDİRNE</v>
          </cell>
          <cell r="D1802" t="str">
            <v>UZUNKÖPRÜ</v>
          </cell>
          <cell r="H1802" t="str">
            <v>Dağıtım-AG</v>
          </cell>
          <cell r="I1802" t="str">
            <v>Uzun</v>
          </cell>
          <cell r="J1802" t="str">
            <v>Şebeke işletmecisi</v>
          </cell>
          <cell r="K1802" t="str">
            <v>Bildirimsiz</v>
          </cell>
          <cell r="O1802">
            <v>0</v>
          </cell>
          <cell r="P1802">
            <v>45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1923.7499999057036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</row>
        <row r="1803">
          <cell r="C1803" t="str">
            <v>TEKİRDAĞ</v>
          </cell>
          <cell r="D1803" t="str">
            <v>ÇORLU</v>
          </cell>
          <cell r="H1803" t="str">
            <v>Dağıtım-OG</v>
          </cell>
          <cell r="I1803" t="str">
            <v>Uzun</v>
          </cell>
          <cell r="J1803" t="str">
            <v>Şebeke işletmecisi</v>
          </cell>
          <cell r="K1803" t="str">
            <v>Bildirimsiz</v>
          </cell>
          <cell r="O1803">
            <v>1</v>
          </cell>
          <cell r="P1803">
            <v>14</v>
          </cell>
          <cell r="Q1803">
            <v>0</v>
          </cell>
          <cell r="R1803">
            <v>0</v>
          </cell>
          <cell r="S1803">
            <v>15</v>
          </cell>
          <cell r="T1803">
            <v>2087</v>
          </cell>
          <cell r="U1803">
            <v>42.716666667256504</v>
          </cell>
          <cell r="V1803">
            <v>598.03333334159106</v>
          </cell>
          <cell r="W1803">
            <v>0</v>
          </cell>
          <cell r="X1803">
            <v>0</v>
          </cell>
          <cell r="Y1803">
            <v>640.75000000884756</v>
          </cell>
          <cell r="Z1803">
            <v>89149.683334564324</v>
          </cell>
        </row>
        <row r="1804">
          <cell r="C1804" t="str">
            <v>TEKİRDAĞ</v>
          </cell>
          <cell r="D1804" t="str">
            <v>SÜLEYMANPAŞA</v>
          </cell>
          <cell r="H1804" t="str">
            <v>Dağıtım-OG</v>
          </cell>
          <cell r="I1804" t="str">
            <v>Uzun</v>
          </cell>
          <cell r="J1804" t="str">
            <v>Şebeke işletmecisi</v>
          </cell>
          <cell r="K1804" t="str">
            <v>Bildirimsiz</v>
          </cell>
          <cell r="O1804">
            <v>3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128.15000000176951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</row>
        <row r="1805">
          <cell r="C1805" t="str">
            <v>TEKİRDAĞ</v>
          </cell>
          <cell r="D1805" t="str">
            <v>SARAY</v>
          </cell>
          <cell r="H1805" t="str">
            <v>Dağıtım-AG</v>
          </cell>
          <cell r="I1805" t="str">
            <v>Uzun</v>
          </cell>
          <cell r="J1805" t="str">
            <v>Şebeke işletmecisi</v>
          </cell>
          <cell r="K1805" t="str">
            <v>Bildirimsiz</v>
          </cell>
          <cell r="O1805">
            <v>0</v>
          </cell>
          <cell r="P1805">
            <v>0</v>
          </cell>
          <cell r="Q1805">
            <v>0</v>
          </cell>
          <cell r="R1805">
            <v>13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554.8833333759103</v>
          </cell>
          <cell r="Y1805">
            <v>0</v>
          </cell>
          <cell r="Z1805">
            <v>0</v>
          </cell>
        </row>
        <row r="1806">
          <cell r="C1806" t="str">
            <v>TEKİRDAĞ</v>
          </cell>
          <cell r="D1806" t="str">
            <v>ERGENE</v>
          </cell>
          <cell r="H1806" t="str">
            <v>Dağıtım-OG</v>
          </cell>
          <cell r="I1806" t="str">
            <v>Uzun</v>
          </cell>
          <cell r="J1806" t="str">
            <v>Şebeke işletmecisi</v>
          </cell>
          <cell r="K1806" t="str">
            <v>Bildirimli</v>
          </cell>
          <cell r="O1806">
            <v>3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127.89999997476116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</row>
        <row r="1807">
          <cell r="C1807" t="str">
            <v>KIRKLARELİ</v>
          </cell>
          <cell r="D1807" t="str">
            <v>KIRKLARELİMERKEZ</v>
          </cell>
          <cell r="H1807" t="str">
            <v>Dağıtım-OG</v>
          </cell>
          <cell r="I1807" t="str">
            <v>Uzun</v>
          </cell>
          <cell r="J1807" t="str">
            <v>Şebeke işletmecisi</v>
          </cell>
          <cell r="K1807" t="str">
            <v>Bildirimli</v>
          </cell>
          <cell r="O1807">
            <v>1</v>
          </cell>
          <cell r="P1807">
            <v>3022</v>
          </cell>
          <cell r="Q1807">
            <v>0</v>
          </cell>
          <cell r="R1807">
            <v>0</v>
          </cell>
          <cell r="S1807">
            <v>0</v>
          </cell>
          <cell r="T1807">
            <v>1</v>
          </cell>
          <cell r="U1807">
            <v>42.616666664835066</v>
          </cell>
          <cell r="V1807">
            <v>128787.56666113157</v>
          </cell>
          <cell r="W1807">
            <v>0</v>
          </cell>
          <cell r="X1807">
            <v>0</v>
          </cell>
          <cell r="Y1807">
            <v>0</v>
          </cell>
          <cell r="Z1807">
            <v>42.616666664835066</v>
          </cell>
        </row>
        <row r="1808">
          <cell r="C1808" t="str">
            <v>EDİRNE</v>
          </cell>
          <cell r="D1808" t="str">
            <v>EDİRNEMERKEZ</v>
          </cell>
          <cell r="H1808" t="str">
            <v>Dağıtım-AG</v>
          </cell>
          <cell r="I1808" t="str">
            <v>Uzun</v>
          </cell>
          <cell r="J1808" t="str">
            <v>Şebeke işletmecisi</v>
          </cell>
          <cell r="K1808" t="str">
            <v>Bildirimsiz</v>
          </cell>
          <cell r="O1808">
            <v>0</v>
          </cell>
          <cell r="P1808">
            <v>81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3450.6000003847294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</row>
        <row r="1809">
          <cell r="C1809" t="str">
            <v>TEKİRDAĞ</v>
          </cell>
          <cell r="D1809" t="str">
            <v>MARMARAEREĞLİSİ</v>
          </cell>
          <cell r="H1809" t="str">
            <v>Dağıtım-OG</v>
          </cell>
          <cell r="I1809" t="str">
            <v>Uzun</v>
          </cell>
          <cell r="J1809" t="str">
            <v>Şebeke işletmecisi</v>
          </cell>
          <cell r="K1809" t="str">
            <v>Bildirimsiz</v>
          </cell>
          <cell r="O1809">
            <v>15</v>
          </cell>
          <cell r="P1809">
            <v>17240</v>
          </cell>
          <cell r="Q1809">
            <v>4</v>
          </cell>
          <cell r="R1809">
            <v>5493</v>
          </cell>
          <cell r="S1809">
            <v>0</v>
          </cell>
          <cell r="T1809">
            <v>3</v>
          </cell>
          <cell r="U1809">
            <v>638.50000011152588</v>
          </cell>
          <cell r="V1809">
            <v>733849.33346151374</v>
          </cell>
          <cell r="W1809">
            <v>170.2666666964069</v>
          </cell>
          <cell r="X1809">
            <v>233818.70004084078</v>
          </cell>
          <cell r="Y1809">
            <v>0</v>
          </cell>
          <cell r="Z1809">
            <v>127.70000002230518</v>
          </cell>
        </row>
        <row r="1810">
          <cell r="C1810" t="str">
            <v>TEKİRDAĞ</v>
          </cell>
          <cell r="D1810" t="str">
            <v>MARMARAEREĞLİSİ</v>
          </cell>
          <cell r="H1810" t="str">
            <v>Dağıtım-OG</v>
          </cell>
          <cell r="I1810" t="str">
            <v>Uzun</v>
          </cell>
          <cell r="J1810" t="str">
            <v>Şebeke İşletmecisi</v>
          </cell>
          <cell r="K1810" t="str">
            <v>Bildirimsiz</v>
          </cell>
          <cell r="O1810">
            <v>4</v>
          </cell>
          <cell r="P1810">
            <v>3550</v>
          </cell>
          <cell r="Q1810">
            <v>4</v>
          </cell>
          <cell r="R1810">
            <v>12</v>
          </cell>
          <cell r="S1810">
            <v>1</v>
          </cell>
          <cell r="T1810">
            <v>0</v>
          </cell>
          <cell r="U1810">
            <v>170.2666666964069</v>
          </cell>
          <cell r="V1810">
            <v>151111.66669306112</v>
          </cell>
          <cell r="W1810">
            <v>170.2666666964069</v>
          </cell>
          <cell r="X1810">
            <v>510.8000000892207</v>
          </cell>
          <cell r="Y1810">
            <v>42.566666674101725</v>
          </cell>
          <cell r="Z1810">
            <v>0</v>
          </cell>
        </row>
        <row r="1811">
          <cell r="C1811" t="str">
            <v>TEKİRDAĞ</v>
          </cell>
          <cell r="D1811" t="str">
            <v>KAPAKLI</v>
          </cell>
          <cell r="H1811" t="str">
            <v>Dağıtım-OG</v>
          </cell>
          <cell r="I1811" t="str">
            <v>Uzun</v>
          </cell>
          <cell r="J1811" t="str">
            <v>Şebeke işletmecisi</v>
          </cell>
          <cell r="K1811" t="str">
            <v>Bildirimsiz</v>
          </cell>
          <cell r="O1811">
            <v>0</v>
          </cell>
          <cell r="P1811">
            <v>7593</v>
          </cell>
          <cell r="Q1811">
            <v>0</v>
          </cell>
          <cell r="R1811">
            <v>1</v>
          </cell>
          <cell r="S1811">
            <v>0</v>
          </cell>
          <cell r="T1811">
            <v>0</v>
          </cell>
          <cell r="U1811">
            <v>0</v>
          </cell>
          <cell r="V1811">
            <v>323082.15002687182</v>
          </cell>
          <cell r="W1811">
            <v>0</v>
          </cell>
          <cell r="X1811">
            <v>42.550000003539026</v>
          </cell>
          <cell r="Y1811">
            <v>0</v>
          </cell>
          <cell r="Z1811">
            <v>0</v>
          </cell>
        </row>
        <row r="1812">
          <cell r="C1812" t="str">
            <v>TEKİRDAĞ</v>
          </cell>
          <cell r="D1812" t="str">
            <v>MURATLI</v>
          </cell>
          <cell r="H1812" t="str">
            <v>Dağıtım-AG</v>
          </cell>
          <cell r="I1812" t="str">
            <v>Uzun</v>
          </cell>
          <cell r="J1812" t="str">
            <v>Şebeke işletmecisi</v>
          </cell>
          <cell r="K1812" t="str">
            <v>Bildirimsiz</v>
          </cell>
          <cell r="O1812">
            <v>0</v>
          </cell>
          <cell r="P1812">
            <v>9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381.9000000692904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</row>
        <row r="1813">
          <cell r="C1813" t="str">
            <v>KIRKLARELİ</v>
          </cell>
          <cell r="D1813" t="str">
            <v>KIRKLARELİMERKEZ</v>
          </cell>
          <cell r="H1813" t="str">
            <v>Dağıtım-AG</v>
          </cell>
          <cell r="I1813" t="str">
            <v>Uzun</v>
          </cell>
          <cell r="J1813" t="str">
            <v>Şebeke işletmecisi</v>
          </cell>
          <cell r="K1813" t="str">
            <v>Bildirimsiz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183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7756.1500011873432</v>
          </cell>
        </row>
        <row r="1814">
          <cell r="C1814" t="str">
            <v>EDİRNE</v>
          </cell>
          <cell r="D1814" t="str">
            <v>EDİRNEMERKEZ</v>
          </cell>
          <cell r="H1814" t="str">
            <v>Dağıtım-AG</v>
          </cell>
          <cell r="I1814" t="str">
            <v>Uzun</v>
          </cell>
          <cell r="J1814" t="str">
            <v>Şebeke işletmecisi</v>
          </cell>
          <cell r="K1814" t="str">
            <v>Bildirimsiz</v>
          </cell>
          <cell r="O1814">
            <v>0</v>
          </cell>
          <cell r="P1814">
            <v>1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42.316666668048128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</row>
        <row r="1815">
          <cell r="C1815" t="str">
            <v>EDİRNE</v>
          </cell>
          <cell r="D1815" t="str">
            <v>KEŞAN</v>
          </cell>
          <cell r="H1815" t="str">
            <v>Dağıtım-AG</v>
          </cell>
          <cell r="I1815" t="str">
            <v>Uzun</v>
          </cell>
          <cell r="J1815" t="str">
            <v>Şebeke işletmecisi</v>
          </cell>
          <cell r="K1815" t="str">
            <v>Bildirimsiz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68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2876.3999998290092</v>
          </cell>
        </row>
        <row r="1816">
          <cell r="C1816" t="str">
            <v>TEKİRDAĞ</v>
          </cell>
          <cell r="D1816" t="str">
            <v>SÜLEYMANPAŞA</v>
          </cell>
          <cell r="H1816" t="str">
            <v>Dağıtım-AG</v>
          </cell>
          <cell r="I1816" t="str">
            <v>Uzun</v>
          </cell>
          <cell r="J1816" t="str">
            <v>Şebeke İşletmecisi</v>
          </cell>
          <cell r="K1816" t="str">
            <v>Bildirimsiz</v>
          </cell>
          <cell r="O1816">
            <v>0</v>
          </cell>
          <cell r="P1816">
            <v>16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675.99999994039536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</row>
        <row r="1817">
          <cell r="C1817" t="str">
            <v>EDİRNE</v>
          </cell>
          <cell r="D1817" t="str">
            <v>EDİRNEMERKEZ</v>
          </cell>
          <cell r="H1817" t="str">
            <v>Dağıtım-OG</v>
          </cell>
          <cell r="I1817" t="str">
            <v>Uzun</v>
          </cell>
          <cell r="J1817" t="str">
            <v>Şebeke işletmecisi</v>
          </cell>
          <cell r="K1817" t="str">
            <v>Bildirimsiz</v>
          </cell>
          <cell r="O1817">
            <v>0</v>
          </cell>
          <cell r="P1817">
            <v>0</v>
          </cell>
          <cell r="Q1817">
            <v>0</v>
          </cell>
          <cell r="R1817">
            <v>2</v>
          </cell>
          <cell r="S1817">
            <v>0</v>
          </cell>
          <cell r="T1817">
            <v>106</v>
          </cell>
          <cell r="U1817">
            <v>0</v>
          </cell>
          <cell r="V1817">
            <v>0</v>
          </cell>
          <cell r="W1817">
            <v>0</v>
          </cell>
          <cell r="X1817">
            <v>84.499999992549419</v>
          </cell>
          <cell r="Y1817">
            <v>0</v>
          </cell>
          <cell r="Z1817">
            <v>4478.4999996051192</v>
          </cell>
        </row>
        <row r="1818">
          <cell r="C1818" t="str">
            <v>EDİRNE</v>
          </cell>
          <cell r="D1818" t="str">
            <v>KEŞAN</v>
          </cell>
          <cell r="H1818" t="str">
            <v>Dağıtım-AG</v>
          </cell>
          <cell r="I1818" t="str">
            <v>Uzun</v>
          </cell>
          <cell r="J1818" t="str">
            <v>Şebeke işletmecisi</v>
          </cell>
          <cell r="K1818" t="str">
            <v>Bildirimsiz</v>
          </cell>
          <cell r="O1818">
            <v>0</v>
          </cell>
          <cell r="P1818">
            <v>325</v>
          </cell>
          <cell r="Q1818">
            <v>0</v>
          </cell>
          <cell r="R1818">
            <v>0</v>
          </cell>
          <cell r="S1818">
            <v>0</v>
          </cell>
          <cell r="T1818">
            <v>1</v>
          </cell>
          <cell r="U1818">
            <v>0</v>
          </cell>
          <cell r="V1818">
            <v>13704.16666593519</v>
          </cell>
          <cell r="W1818">
            <v>0</v>
          </cell>
          <cell r="X1818">
            <v>0</v>
          </cell>
          <cell r="Y1818">
            <v>0</v>
          </cell>
          <cell r="Z1818">
            <v>42.16666666441597</v>
          </cell>
        </row>
        <row r="1819">
          <cell r="C1819" t="str">
            <v>TEKİRDAĞ</v>
          </cell>
          <cell r="D1819" t="str">
            <v>KAPAKLI</v>
          </cell>
          <cell r="H1819" t="str">
            <v>Dağıtım-OG</v>
          </cell>
          <cell r="I1819" t="str">
            <v>Uzun</v>
          </cell>
          <cell r="J1819" t="str">
            <v>Şebeke işletmecisi</v>
          </cell>
          <cell r="K1819" t="str">
            <v>Bildirimsiz</v>
          </cell>
          <cell r="O1819">
            <v>0</v>
          </cell>
          <cell r="P1819">
            <v>7602</v>
          </cell>
          <cell r="Q1819">
            <v>0</v>
          </cell>
          <cell r="R1819">
            <v>1</v>
          </cell>
          <cell r="S1819">
            <v>0</v>
          </cell>
          <cell r="T1819">
            <v>0</v>
          </cell>
          <cell r="U1819">
            <v>0</v>
          </cell>
          <cell r="V1819">
            <v>319790.79996448243</v>
          </cell>
          <cell r="W1819">
            <v>0</v>
          </cell>
          <cell r="X1819">
            <v>42.066666661994532</v>
          </cell>
          <cell r="Y1819">
            <v>0</v>
          </cell>
          <cell r="Z1819">
            <v>0</v>
          </cell>
        </row>
        <row r="1820">
          <cell r="C1820" t="str">
            <v>EDİRNE</v>
          </cell>
          <cell r="D1820" t="str">
            <v>EDİRNEMERKEZ</v>
          </cell>
          <cell r="H1820" t="str">
            <v>Dağıtım-OG</v>
          </cell>
          <cell r="I1820" t="str">
            <v>Uzun</v>
          </cell>
          <cell r="J1820" t="str">
            <v>Şebeke işletmecisi</v>
          </cell>
          <cell r="K1820" t="str">
            <v>Bildirimsiz</v>
          </cell>
          <cell r="O1820">
            <v>4</v>
          </cell>
          <cell r="P1820">
            <v>1</v>
          </cell>
          <cell r="Q1820">
            <v>0</v>
          </cell>
          <cell r="R1820">
            <v>0</v>
          </cell>
          <cell r="S1820">
            <v>4</v>
          </cell>
          <cell r="T1820">
            <v>0</v>
          </cell>
          <cell r="U1820">
            <v>168.13333332538605</v>
          </cell>
          <cell r="V1820">
            <v>42.033333331346512</v>
          </cell>
          <cell r="W1820">
            <v>0</v>
          </cell>
          <cell r="X1820">
            <v>0</v>
          </cell>
          <cell r="Y1820">
            <v>168.13333332538605</v>
          </cell>
          <cell r="Z1820">
            <v>0</v>
          </cell>
        </row>
        <row r="1821">
          <cell r="C1821" t="str">
            <v>TEKİRDAĞ</v>
          </cell>
          <cell r="D1821" t="str">
            <v>MARMARAEREĞLİSİ</v>
          </cell>
          <cell r="H1821" t="str">
            <v>Dağıtım-AG</v>
          </cell>
          <cell r="I1821" t="str">
            <v>Uzun</v>
          </cell>
          <cell r="J1821" t="str">
            <v>Şebeke işletmecisi</v>
          </cell>
          <cell r="K1821" t="str">
            <v>Bildirimsiz</v>
          </cell>
          <cell r="O1821">
            <v>0</v>
          </cell>
          <cell r="P1821">
            <v>5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209.83333335025236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</row>
        <row r="1822">
          <cell r="C1822" t="str">
            <v>EDİRNE</v>
          </cell>
          <cell r="D1822" t="str">
            <v>UZUNKÖPRÜ</v>
          </cell>
          <cell r="H1822" t="str">
            <v>Dağıtım-AG</v>
          </cell>
          <cell r="I1822" t="str">
            <v>Uzun</v>
          </cell>
          <cell r="J1822" t="str">
            <v>Şebeke işletmecisi</v>
          </cell>
          <cell r="K1822" t="str">
            <v>Bildirimsiz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102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4278.9000010164455</v>
          </cell>
        </row>
        <row r="1823">
          <cell r="C1823" t="str">
            <v>KIRKLARELİ</v>
          </cell>
          <cell r="D1823" t="str">
            <v>LÜLEBURGAZ</v>
          </cell>
          <cell r="H1823" t="str">
            <v>Dağıtım-OG</v>
          </cell>
          <cell r="I1823" t="str">
            <v>Uzun</v>
          </cell>
          <cell r="J1823" t="str">
            <v>Şebeke İşletmecisi</v>
          </cell>
          <cell r="K1823" t="str">
            <v>Bildirimsiz</v>
          </cell>
          <cell r="O1823">
            <v>1</v>
          </cell>
          <cell r="P1823">
            <v>0</v>
          </cell>
          <cell r="Q1823">
            <v>0</v>
          </cell>
          <cell r="R1823">
            <v>0</v>
          </cell>
          <cell r="S1823">
            <v>22</v>
          </cell>
          <cell r="T1823">
            <v>127</v>
          </cell>
          <cell r="U1823">
            <v>41.949999999487773</v>
          </cell>
          <cell r="V1823">
            <v>0</v>
          </cell>
          <cell r="W1823">
            <v>0</v>
          </cell>
          <cell r="X1823">
            <v>0</v>
          </cell>
          <cell r="Y1823">
            <v>922.899999988731</v>
          </cell>
          <cell r="Z1823">
            <v>5327.6499999349471</v>
          </cell>
        </row>
        <row r="1824">
          <cell r="C1824" t="str">
            <v>TEKİRDAĞ</v>
          </cell>
          <cell r="D1824" t="str">
            <v>ÇERKEZKÖY</v>
          </cell>
          <cell r="H1824" t="str">
            <v>Dağıtım-AG</v>
          </cell>
          <cell r="I1824" t="str">
            <v>Uzun</v>
          </cell>
          <cell r="J1824" t="str">
            <v>Şebeke işletmecisi</v>
          </cell>
          <cell r="K1824" t="str">
            <v>Bildirimsiz</v>
          </cell>
          <cell r="O1824">
            <v>0</v>
          </cell>
          <cell r="P1824">
            <v>8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335.46666671521962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</row>
        <row r="1825">
          <cell r="C1825" t="str">
            <v>KIRKLARELİ</v>
          </cell>
          <cell r="D1825" t="str">
            <v>KIRKLARELİMERKEZ</v>
          </cell>
          <cell r="H1825" t="str">
            <v>Dağıtım-OG</v>
          </cell>
          <cell r="I1825" t="str">
            <v>Uzun</v>
          </cell>
          <cell r="J1825" t="str">
            <v>Şebeke işletmecisi</v>
          </cell>
          <cell r="K1825" t="str">
            <v>Bildirimsiz</v>
          </cell>
          <cell r="O1825">
            <v>9</v>
          </cell>
          <cell r="P1825">
            <v>321</v>
          </cell>
          <cell r="Q1825">
            <v>3</v>
          </cell>
          <cell r="R1825">
            <v>9</v>
          </cell>
          <cell r="S1825">
            <v>1</v>
          </cell>
          <cell r="T1825">
            <v>0</v>
          </cell>
          <cell r="U1825">
            <v>377.39999996032566</v>
          </cell>
          <cell r="V1825">
            <v>13460.599998584948</v>
          </cell>
          <cell r="W1825">
            <v>125.79999998677522</v>
          </cell>
          <cell r="X1825">
            <v>377.39999996032566</v>
          </cell>
          <cell r="Y1825">
            <v>41.933333328925073</v>
          </cell>
          <cell r="Z1825">
            <v>0</v>
          </cell>
        </row>
        <row r="1826">
          <cell r="C1826" t="str">
            <v>EDİRNE</v>
          </cell>
          <cell r="D1826" t="str">
            <v>EDİRNEMERKEZ</v>
          </cell>
          <cell r="H1826" t="str">
            <v>Dağıtım-AG</v>
          </cell>
          <cell r="I1826" t="str">
            <v>Uzun</v>
          </cell>
          <cell r="J1826" t="str">
            <v>Şebeke işletmecisi</v>
          </cell>
          <cell r="K1826" t="str">
            <v>Bildirimsiz</v>
          </cell>
          <cell r="O1826">
            <v>0</v>
          </cell>
          <cell r="P1826">
            <v>87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3645.2999998501036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</row>
        <row r="1827">
          <cell r="C1827" t="str">
            <v>EDİRNE</v>
          </cell>
          <cell r="D1827" t="str">
            <v>ENEZ</v>
          </cell>
          <cell r="H1827" t="str">
            <v>Dağıtım-OG</v>
          </cell>
          <cell r="I1827" t="str">
            <v>Uzun</v>
          </cell>
          <cell r="J1827" t="str">
            <v>Şebeke işletmecisi</v>
          </cell>
          <cell r="K1827" t="str">
            <v>Bildirimsiz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4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167.46666667051613</v>
          </cell>
          <cell r="Z1827">
            <v>0</v>
          </cell>
        </row>
        <row r="1828">
          <cell r="C1828" t="str">
            <v>KIRKLARELİ</v>
          </cell>
          <cell r="D1828" t="str">
            <v>LÜLEBURGAZ</v>
          </cell>
          <cell r="H1828" t="str">
            <v>Dağıtım-OG</v>
          </cell>
          <cell r="I1828" t="str">
            <v>Uzun</v>
          </cell>
          <cell r="J1828" t="str">
            <v>Şebeke işletmecisi</v>
          </cell>
          <cell r="K1828" t="str">
            <v>Bildirimsiz</v>
          </cell>
          <cell r="O1828">
            <v>1</v>
          </cell>
          <cell r="P1828">
            <v>0</v>
          </cell>
          <cell r="Q1828">
            <v>0</v>
          </cell>
          <cell r="R1828">
            <v>0</v>
          </cell>
          <cell r="S1828">
            <v>30</v>
          </cell>
          <cell r="T1828">
            <v>1140</v>
          </cell>
          <cell r="U1828">
            <v>41.700000003911555</v>
          </cell>
          <cell r="V1828">
            <v>0</v>
          </cell>
          <cell r="W1828">
            <v>0</v>
          </cell>
          <cell r="X1828">
            <v>0</v>
          </cell>
          <cell r="Y1828">
            <v>1251.0000001173466</v>
          </cell>
          <cell r="Z1828">
            <v>47538.000004459172</v>
          </cell>
        </row>
        <row r="1829">
          <cell r="C1829" t="str">
            <v>KIRKLARELİ</v>
          </cell>
          <cell r="D1829" t="str">
            <v>BABAESKİ</v>
          </cell>
          <cell r="H1829" t="str">
            <v>Dağıtım-OG</v>
          </cell>
          <cell r="I1829" t="str">
            <v>Uzun</v>
          </cell>
          <cell r="J1829" t="str">
            <v>Şebeke işletmecisi</v>
          </cell>
          <cell r="K1829" t="str">
            <v>Bildirimsiz</v>
          </cell>
          <cell r="O1829">
            <v>3</v>
          </cell>
          <cell r="P1829">
            <v>1</v>
          </cell>
          <cell r="Q1829">
            <v>3</v>
          </cell>
          <cell r="R1829">
            <v>18</v>
          </cell>
          <cell r="S1829">
            <v>0</v>
          </cell>
          <cell r="T1829">
            <v>0</v>
          </cell>
          <cell r="U1829">
            <v>125.09999998030253</v>
          </cell>
          <cell r="V1829">
            <v>41.699999993434176</v>
          </cell>
          <cell r="W1829">
            <v>125.09999998030253</v>
          </cell>
          <cell r="X1829">
            <v>750.59999988181517</v>
          </cell>
          <cell r="Y1829">
            <v>0</v>
          </cell>
          <cell r="Z1829">
            <v>0</v>
          </cell>
        </row>
        <row r="1830">
          <cell r="C1830" t="str">
            <v>KIRKLARELİ</v>
          </cell>
          <cell r="D1830" t="str">
            <v>LÜLEBURGAZ</v>
          </cell>
          <cell r="H1830" t="str">
            <v>Dağıtım-AG</v>
          </cell>
          <cell r="I1830" t="str">
            <v>Uzun</v>
          </cell>
          <cell r="J1830" t="str">
            <v>Şebeke işletmecisi</v>
          </cell>
          <cell r="K1830" t="str">
            <v>Bildirimsiz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6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249.99999997671694</v>
          </cell>
        </row>
        <row r="1831">
          <cell r="C1831" t="str">
            <v>TEKİRDAĞ</v>
          </cell>
          <cell r="D1831" t="str">
            <v>MURATLI</v>
          </cell>
          <cell r="H1831" t="str">
            <v>Dağıtım-AG</v>
          </cell>
          <cell r="I1831" t="str">
            <v>Uzun</v>
          </cell>
          <cell r="J1831" t="str">
            <v>Şebeke işletmecisi</v>
          </cell>
          <cell r="K1831" t="str">
            <v>Bildirimsiz</v>
          </cell>
          <cell r="O1831">
            <v>0</v>
          </cell>
          <cell r="P1831">
            <v>4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166.53333337046206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</row>
        <row r="1832">
          <cell r="C1832" t="str">
            <v>TEKİRDAĞ</v>
          </cell>
          <cell r="D1832" t="str">
            <v>SÜLEYMANPAŞA</v>
          </cell>
          <cell r="H1832" t="str">
            <v>Dağıtım-OG</v>
          </cell>
          <cell r="I1832" t="str">
            <v>Uzun</v>
          </cell>
          <cell r="J1832" t="str">
            <v>Şebeke işletmecisi</v>
          </cell>
          <cell r="K1832" t="str">
            <v>Bildirimsiz</v>
          </cell>
          <cell r="O1832">
            <v>0</v>
          </cell>
          <cell r="P1832">
            <v>82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3412.5666671083309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</row>
        <row r="1833">
          <cell r="C1833" t="str">
            <v>KIRKLARELİ</v>
          </cell>
          <cell r="D1833" t="str">
            <v>KIRKLARELİMERKEZ</v>
          </cell>
          <cell r="H1833" t="str">
            <v>Dağıtım-OG</v>
          </cell>
          <cell r="I1833" t="str">
            <v>Uzun</v>
          </cell>
          <cell r="J1833" t="str">
            <v>Şebeke işletmecisi</v>
          </cell>
          <cell r="K1833" t="str">
            <v>Bildirimli</v>
          </cell>
          <cell r="O1833">
            <v>0</v>
          </cell>
          <cell r="P1833">
            <v>592</v>
          </cell>
          <cell r="Q1833">
            <v>0</v>
          </cell>
          <cell r="R1833">
            <v>0</v>
          </cell>
          <cell r="S1833">
            <v>0</v>
          </cell>
          <cell r="T1833">
            <v>1</v>
          </cell>
          <cell r="U1833">
            <v>0</v>
          </cell>
          <cell r="V1833">
            <v>24617.333331909031</v>
          </cell>
          <cell r="W1833">
            <v>0</v>
          </cell>
          <cell r="X1833">
            <v>0</v>
          </cell>
          <cell r="Y1833">
            <v>0</v>
          </cell>
          <cell r="Z1833">
            <v>41.583333330927417</v>
          </cell>
        </row>
        <row r="1834">
          <cell r="C1834" t="str">
            <v>EDİRNE</v>
          </cell>
          <cell r="D1834" t="str">
            <v>UZUNKÖPRÜ</v>
          </cell>
          <cell r="H1834" t="str">
            <v>Dağıtım-AG</v>
          </cell>
          <cell r="I1834" t="str">
            <v>Uzun</v>
          </cell>
          <cell r="J1834" t="str">
            <v>Şebeke işletmecisi</v>
          </cell>
          <cell r="K1834" t="str">
            <v>Bildirimsiz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46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1912.8333332226612</v>
          </cell>
        </row>
        <row r="1835">
          <cell r="C1835" t="str">
            <v>TEKİRDAĞ</v>
          </cell>
          <cell r="D1835" t="str">
            <v>HAYRABOLU</v>
          </cell>
          <cell r="H1835" t="str">
            <v>Dağıtım-AG</v>
          </cell>
          <cell r="I1835" t="str">
            <v>Uzun</v>
          </cell>
          <cell r="J1835" t="str">
            <v>Şebeke işletmecisi</v>
          </cell>
          <cell r="K1835" t="str">
            <v>Bildirimsiz</v>
          </cell>
          <cell r="O1835">
            <v>0</v>
          </cell>
          <cell r="P1835">
            <v>0</v>
          </cell>
          <cell r="Q1835">
            <v>0</v>
          </cell>
          <cell r="R1835">
            <v>81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3365.5500000226311</v>
          </cell>
          <cell r="Y1835">
            <v>0</v>
          </cell>
          <cell r="Z1835">
            <v>0</v>
          </cell>
        </row>
        <row r="1836">
          <cell r="C1836" t="str">
            <v>EDİRNE</v>
          </cell>
          <cell r="D1836" t="str">
            <v>ENEZ</v>
          </cell>
          <cell r="H1836" t="str">
            <v>Dağıtım-OG</v>
          </cell>
          <cell r="I1836" t="str">
            <v>Uzun</v>
          </cell>
          <cell r="J1836" t="str">
            <v>Şebeke işletmecisi</v>
          </cell>
          <cell r="K1836" t="str">
            <v>Bildirimsiz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1</v>
          </cell>
          <cell r="T1836">
            <v>125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41.550000000279397</v>
          </cell>
          <cell r="Z1836">
            <v>5193.7500000349246</v>
          </cell>
        </row>
        <row r="1837">
          <cell r="C1837" t="str">
            <v>KIRKLARELİ</v>
          </cell>
          <cell r="D1837" t="str">
            <v>VİZE</v>
          </cell>
          <cell r="H1837" t="str">
            <v>Dağıtım-OG</v>
          </cell>
          <cell r="I1837" t="str">
            <v>Uzun</v>
          </cell>
          <cell r="J1837" t="str">
            <v>Şebeke İşletmecisi</v>
          </cell>
          <cell r="K1837" t="str">
            <v>Bildirimsiz</v>
          </cell>
          <cell r="O1837">
            <v>0</v>
          </cell>
          <cell r="P1837">
            <v>0</v>
          </cell>
          <cell r="Q1837">
            <v>8</v>
          </cell>
          <cell r="R1837">
            <v>1256</v>
          </cell>
          <cell r="S1837">
            <v>11</v>
          </cell>
          <cell r="T1837">
            <v>577</v>
          </cell>
          <cell r="U1837">
            <v>0</v>
          </cell>
          <cell r="V1837">
            <v>0</v>
          </cell>
          <cell r="W1837">
            <v>332.26666672155261</v>
          </cell>
          <cell r="X1837">
            <v>52165.86667528376</v>
          </cell>
          <cell r="Y1837">
            <v>456.86666674213484</v>
          </cell>
          <cell r="Z1837">
            <v>23964.733337291982</v>
          </cell>
        </row>
        <row r="1838">
          <cell r="C1838" t="str">
            <v>TEKİRDAĞ</v>
          </cell>
          <cell r="D1838" t="str">
            <v>KAPAKLI</v>
          </cell>
          <cell r="H1838" t="str">
            <v>Dağıtım-AG</v>
          </cell>
          <cell r="I1838" t="str">
            <v>Uzun</v>
          </cell>
          <cell r="J1838" t="str">
            <v>Şebeke işletmecisi</v>
          </cell>
          <cell r="K1838" t="str">
            <v>Bildirimsiz</v>
          </cell>
          <cell r="O1838">
            <v>0</v>
          </cell>
          <cell r="P1838">
            <v>155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6411.8333332298789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</row>
        <row r="1839">
          <cell r="C1839" t="str">
            <v>KIRKLARELİ</v>
          </cell>
          <cell r="D1839" t="str">
            <v>PINARHİSAR</v>
          </cell>
          <cell r="H1839" t="str">
            <v>Dağıtım-OG</v>
          </cell>
          <cell r="I1839" t="str">
            <v>Uzun</v>
          </cell>
          <cell r="J1839" t="str">
            <v>Şebeke işletmecisi</v>
          </cell>
          <cell r="K1839" t="str">
            <v>Bildirimsiz</v>
          </cell>
          <cell r="O1839">
            <v>0</v>
          </cell>
          <cell r="P1839">
            <v>0</v>
          </cell>
          <cell r="Q1839">
            <v>0</v>
          </cell>
          <cell r="R1839">
            <v>1</v>
          </cell>
          <cell r="S1839">
            <v>4</v>
          </cell>
          <cell r="T1839">
            <v>253</v>
          </cell>
          <cell r="U1839">
            <v>0</v>
          </cell>
          <cell r="V1839">
            <v>0</v>
          </cell>
          <cell r="W1839">
            <v>0</v>
          </cell>
          <cell r="X1839">
            <v>41.350000005913898</v>
          </cell>
          <cell r="Y1839">
            <v>165.40000002365559</v>
          </cell>
          <cell r="Z1839">
            <v>10461.550001496216</v>
          </cell>
        </row>
        <row r="1840">
          <cell r="C1840" t="str">
            <v>TEKİRDAĞ</v>
          </cell>
          <cell r="D1840" t="str">
            <v>SARAY</v>
          </cell>
          <cell r="H1840" t="str">
            <v>Dağıtım-AG</v>
          </cell>
          <cell r="I1840" t="str">
            <v>Uzun</v>
          </cell>
          <cell r="J1840" t="str">
            <v>Şebeke işletmecisi</v>
          </cell>
          <cell r="K1840" t="str">
            <v>Bildirimsiz</v>
          </cell>
          <cell r="O1840">
            <v>0</v>
          </cell>
          <cell r="P1840">
            <v>0</v>
          </cell>
          <cell r="Q1840">
            <v>0</v>
          </cell>
          <cell r="R1840">
            <v>4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165.20000001881272</v>
          </cell>
          <cell r="Y1840">
            <v>0</v>
          </cell>
          <cell r="Z1840">
            <v>0</v>
          </cell>
        </row>
        <row r="1841">
          <cell r="C1841" t="str">
            <v>TEKİRDAĞ</v>
          </cell>
          <cell r="D1841" t="str">
            <v>MALKARA</v>
          </cell>
          <cell r="H1841" t="str">
            <v>Dağıtım-AG</v>
          </cell>
          <cell r="I1841" t="str">
            <v>Uzun</v>
          </cell>
          <cell r="J1841" t="str">
            <v>Şebeke işletmecisi</v>
          </cell>
          <cell r="K1841" t="str">
            <v>Bildirimsiz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123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5075.8000009087846</v>
          </cell>
        </row>
        <row r="1842">
          <cell r="C1842" t="str">
            <v>TEKİRDAĞ</v>
          </cell>
          <cell r="D1842" t="str">
            <v>MALKARA</v>
          </cell>
          <cell r="H1842" t="str">
            <v>Dağıtım-OG</v>
          </cell>
          <cell r="I1842" t="str">
            <v>Uzun</v>
          </cell>
          <cell r="J1842" t="str">
            <v>Şebeke işletmecisi</v>
          </cell>
          <cell r="K1842" t="str">
            <v>Bildirimsiz</v>
          </cell>
          <cell r="O1842">
            <v>4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165.00000001396984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</row>
        <row r="1843">
          <cell r="C1843" t="str">
            <v>KIRKLARELİ</v>
          </cell>
          <cell r="D1843" t="str">
            <v>LÜLEBURGAZ</v>
          </cell>
          <cell r="H1843" t="str">
            <v>Dağıtım-OG</v>
          </cell>
          <cell r="I1843" t="str">
            <v>Uzun</v>
          </cell>
          <cell r="J1843" t="str">
            <v>Şebeke işletmecisi</v>
          </cell>
          <cell r="K1843" t="str">
            <v>Bildirimsiz</v>
          </cell>
          <cell r="O1843">
            <v>0</v>
          </cell>
          <cell r="P1843">
            <v>0</v>
          </cell>
          <cell r="Q1843">
            <v>1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41.20000000228174</v>
          </cell>
          <cell r="X1843">
            <v>0</v>
          </cell>
          <cell r="Y1843">
            <v>0</v>
          </cell>
          <cell r="Z1843">
            <v>0</v>
          </cell>
        </row>
        <row r="1844">
          <cell r="C1844" t="str">
            <v>KIRKLARELİ</v>
          </cell>
          <cell r="D1844" t="str">
            <v>KIRKLARELİMERKEZ</v>
          </cell>
          <cell r="H1844" t="str">
            <v>Dağıtım-OG</v>
          </cell>
          <cell r="I1844" t="str">
            <v>Uzun</v>
          </cell>
          <cell r="J1844" t="str">
            <v>Şebeke işletmecisi</v>
          </cell>
          <cell r="K1844" t="str">
            <v>Bildirimli</v>
          </cell>
          <cell r="O1844">
            <v>0</v>
          </cell>
          <cell r="P1844">
            <v>244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10048.733332939446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</row>
        <row r="1845">
          <cell r="C1845" t="str">
            <v>TEKİRDAĞ</v>
          </cell>
          <cell r="D1845" t="str">
            <v>MARMARAEREĞLİSİ</v>
          </cell>
          <cell r="H1845" t="str">
            <v>Dağıtım-AG</v>
          </cell>
          <cell r="I1845" t="str">
            <v>Uzun</v>
          </cell>
          <cell r="J1845" t="str">
            <v>Şebeke işletmecisi</v>
          </cell>
          <cell r="K1845" t="str">
            <v>Bildirimsiz</v>
          </cell>
          <cell r="O1845">
            <v>0</v>
          </cell>
          <cell r="P1845">
            <v>26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1069.4666668656282</v>
          </cell>
          <cell r="W1845">
            <v>0</v>
          </cell>
          <cell r="X1845">
            <v>0</v>
          </cell>
          <cell r="Y1845">
            <v>0</v>
          </cell>
          <cell r="Z1845">
            <v>0</v>
          </cell>
        </row>
        <row r="1846">
          <cell r="C1846" t="str">
            <v>TEKİRDAĞ</v>
          </cell>
          <cell r="D1846" t="str">
            <v>ÇORLU</v>
          </cell>
          <cell r="H1846" t="str">
            <v>Dağıtım-OG</v>
          </cell>
          <cell r="I1846" t="str">
            <v>Uzun</v>
          </cell>
          <cell r="J1846" t="str">
            <v>Şebeke işletmecisi</v>
          </cell>
          <cell r="K1846" t="str">
            <v>Bildirimsiz</v>
          </cell>
          <cell r="O1846">
            <v>2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82.266666661016643</v>
          </cell>
          <cell r="V1846">
            <v>0</v>
          </cell>
          <cell r="W1846">
            <v>0</v>
          </cell>
          <cell r="X1846">
            <v>0</v>
          </cell>
          <cell r="Y1846">
            <v>0</v>
          </cell>
          <cell r="Z1846">
            <v>0</v>
          </cell>
        </row>
        <row r="1847">
          <cell r="C1847" t="str">
            <v>TEKİRDAĞ</v>
          </cell>
          <cell r="D1847" t="str">
            <v>ERGENE</v>
          </cell>
          <cell r="H1847" t="str">
            <v>Dağıtım-OG</v>
          </cell>
          <cell r="I1847" t="str">
            <v>Uzun</v>
          </cell>
          <cell r="J1847" t="str">
            <v>Şebeke işletmecisi</v>
          </cell>
          <cell r="K1847" t="str">
            <v>Bildirimsiz</v>
          </cell>
          <cell r="O1847">
            <v>6</v>
          </cell>
          <cell r="P1847">
            <v>0</v>
          </cell>
          <cell r="Q1847">
            <v>0</v>
          </cell>
          <cell r="R1847">
            <v>0</v>
          </cell>
          <cell r="S1847">
            <v>1</v>
          </cell>
          <cell r="T1847">
            <v>0</v>
          </cell>
          <cell r="U1847">
            <v>246.70000002253801</v>
          </cell>
          <cell r="V1847">
            <v>0</v>
          </cell>
          <cell r="W1847">
            <v>0</v>
          </cell>
          <cell r="X1847">
            <v>0</v>
          </cell>
          <cell r="Y1847">
            <v>41.116666670423001</v>
          </cell>
          <cell r="Z1847">
            <v>0</v>
          </cell>
        </row>
        <row r="1848">
          <cell r="C1848" t="str">
            <v>EDİRNE</v>
          </cell>
          <cell r="D1848" t="str">
            <v>LALAPAŞA</v>
          </cell>
          <cell r="H1848" t="str">
            <v>Dağıtım-OG</v>
          </cell>
          <cell r="I1848" t="str">
            <v>Uzun</v>
          </cell>
          <cell r="J1848" t="str">
            <v>Şebeke işletmecisi</v>
          </cell>
          <cell r="K1848" t="str">
            <v>Bildirimsiz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207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8493.9000010828022</v>
          </cell>
        </row>
        <row r="1849">
          <cell r="C1849" t="str">
            <v>EDİRNE</v>
          </cell>
          <cell r="D1849" t="str">
            <v>İPSALA</v>
          </cell>
          <cell r="H1849" t="str">
            <v>Dağıtım-OG</v>
          </cell>
          <cell r="I1849" t="str">
            <v>Uzun</v>
          </cell>
          <cell r="J1849" t="str">
            <v>Şebeke işletmecisi</v>
          </cell>
          <cell r="K1849" t="str">
            <v>Bildirimsiz</v>
          </cell>
          <cell r="O1849">
            <v>0</v>
          </cell>
          <cell r="P1849">
            <v>0</v>
          </cell>
          <cell r="Q1849">
            <v>1</v>
          </cell>
          <cell r="R1849">
            <v>0</v>
          </cell>
          <cell r="S1849">
            <v>32</v>
          </cell>
          <cell r="T1849">
            <v>0</v>
          </cell>
          <cell r="U1849">
            <v>0</v>
          </cell>
          <cell r="V1849">
            <v>0</v>
          </cell>
          <cell r="W1849">
            <v>40.966666666790843</v>
          </cell>
          <cell r="X1849">
            <v>0</v>
          </cell>
          <cell r="Y1849">
            <v>1310.933333337307</v>
          </cell>
          <cell r="Z1849">
            <v>0</v>
          </cell>
        </row>
        <row r="1850">
          <cell r="C1850" t="str">
            <v>EDİRNE</v>
          </cell>
          <cell r="D1850" t="str">
            <v>EDİRNEMERKEZ</v>
          </cell>
          <cell r="H1850" t="str">
            <v>Dağıtım-AG</v>
          </cell>
          <cell r="I1850" t="str">
            <v>Uzun</v>
          </cell>
          <cell r="J1850" t="str">
            <v>Şebeke işletmecisi</v>
          </cell>
          <cell r="K1850" t="str">
            <v>Bildirimsiz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101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4132.5833332235925</v>
          </cell>
        </row>
        <row r="1851">
          <cell r="C1851" t="str">
            <v>TEKİRDAĞ</v>
          </cell>
          <cell r="D1851" t="str">
            <v>ÇERKEZKÖY</v>
          </cell>
          <cell r="H1851" t="str">
            <v>Dağıtım-AG</v>
          </cell>
          <cell r="I1851" t="str">
            <v>Uzun</v>
          </cell>
          <cell r="J1851" t="str">
            <v>Şebeke işletmecisi</v>
          </cell>
          <cell r="K1851" t="str">
            <v>Bildirimsiz</v>
          </cell>
          <cell r="O1851">
            <v>0</v>
          </cell>
          <cell r="P1851">
            <v>27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1102.949999832781</v>
          </cell>
          <cell r="W1851">
            <v>0</v>
          </cell>
          <cell r="X1851">
            <v>0</v>
          </cell>
          <cell r="Y1851">
            <v>0</v>
          </cell>
          <cell r="Z1851">
            <v>0</v>
          </cell>
        </row>
        <row r="1852">
          <cell r="C1852" t="str">
            <v>TEKİRDAĞ</v>
          </cell>
          <cell r="D1852" t="str">
            <v>MARMARAEREĞLİSİ</v>
          </cell>
          <cell r="H1852" t="str">
            <v>Dağıtım-OG</v>
          </cell>
          <cell r="I1852" t="str">
            <v>Uzun</v>
          </cell>
          <cell r="J1852" t="str">
            <v>Şebeke İşletmecisi</v>
          </cell>
          <cell r="K1852" t="str">
            <v>Bildirimsiz</v>
          </cell>
          <cell r="O1852">
            <v>7</v>
          </cell>
          <cell r="P1852">
            <v>4511</v>
          </cell>
          <cell r="Q1852">
            <v>0</v>
          </cell>
          <cell r="R1852">
            <v>7</v>
          </cell>
          <cell r="S1852">
            <v>0</v>
          </cell>
          <cell r="T1852">
            <v>1</v>
          </cell>
          <cell r="U1852">
            <v>285.25000001303852</v>
          </cell>
          <cell r="V1852">
            <v>183823.25000840239</v>
          </cell>
          <cell r="W1852">
            <v>0</v>
          </cell>
          <cell r="X1852">
            <v>285.25000001303852</v>
          </cell>
          <cell r="Y1852">
            <v>0</v>
          </cell>
          <cell r="Z1852">
            <v>40.750000001862645</v>
          </cell>
        </row>
        <row r="1853">
          <cell r="C1853" t="str">
            <v>KIRKLARELİ</v>
          </cell>
          <cell r="D1853" t="str">
            <v>VİZE</v>
          </cell>
          <cell r="H1853" t="str">
            <v>Dağıtım-OG</v>
          </cell>
          <cell r="I1853" t="str">
            <v>Uzun</v>
          </cell>
          <cell r="J1853" t="str">
            <v>Şebeke işletmecisi</v>
          </cell>
          <cell r="K1853" t="str">
            <v>Bildirimsiz</v>
          </cell>
          <cell r="O1853">
            <v>0</v>
          </cell>
          <cell r="P1853">
            <v>10</v>
          </cell>
          <cell r="Q1853">
            <v>0</v>
          </cell>
          <cell r="R1853">
            <v>0</v>
          </cell>
          <cell r="S1853">
            <v>1</v>
          </cell>
          <cell r="T1853">
            <v>328</v>
          </cell>
          <cell r="U1853">
            <v>0</v>
          </cell>
          <cell r="V1853">
            <v>407.33333331299946</v>
          </cell>
          <cell r="W1853">
            <v>0</v>
          </cell>
          <cell r="X1853">
            <v>0</v>
          </cell>
          <cell r="Y1853">
            <v>40.733333331299946</v>
          </cell>
          <cell r="Z1853">
            <v>13360.533332666382</v>
          </cell>
        </row>
        <row r="1854">
          <cell r="C1854" t="str">
            <v>TEKİRDAĞ</v>
          </cell>
          <cell r="D1854" t="str">
            <v>MURATLI</v>
          </cell>
          <cell r="H1854" t="str">
            <v>Dağıtım-AG</v>
          </cell>
          <cell r="I1854" t="str">
            <v>Uzun</v>
          </cell>
          <cell r="J1854" t="str">
            <v>Şebeke işletmecisi</v>
          </cell>
          <cell r="K1854" t="str">
            <v>Bildirimsiz</v>
          </cell>
          <cell r="O1854">
            <v>0</v>
          </cell>
          <cell r="P1854">
            <v>10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407.00000000651926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</row>
        <row r="1855">
          <cell r="C1855" t="str">
            <v>KIRKLARELİ</v>
          </cell>
          <cell r="D1855" t="str">
            <v>KIRKLARELİMERKEZ</v>
          </cell>
          <cell r="H1855" t="str">
            <v>Dağıtım-OG</v>
          </cell>
          <cell r="I1855" t="str">
            <v>Uzun</v>
          </cell>
          <cell r="J1855" t="str">
            <v>Şebeke işletmecisi</v>
          </cell>
          <cell r="K1855" t="str">
            <v>Bildirimsiz</v>
          </cell>
          <cell r="O1855">
            <v>2</v>
          </cell>
          <cell r="P1855">
            <v>1</v>
          </cell>
          <cell r="Q1855">
            <v>0</v>
          </cell>
          <cell r="R1855">
            <v>0</v>
          </cell>
          <cell r="S1855">
            <v>10</v>
          </cell>
          <cell r="T1855">
            <v>0</v>
          </cell>
          <cell r="U1855">
            <v>81.366666660178453</v>
          </cell>
          <cell r="V1855">
            <v>40.683333330089226</v>
          </cell>
          <cell r="W1855">
            <v>0</v>
          </cell>
          <cell r="X1855">
            <v>0</v>
          </cell>
          <cell r="Y1855">
            <v>406.83333330089226</v>
          </cell>
          <cell r="Z1855">
            <v>0</v>
          </cell>
        </row>
        <row r="1856">
          <cell r="C1856" t="str">
            <v>TEKİRDAĞ</v>
          </cell>
          <cell r="D1856" t="str">
            <v>SÜLEYMANPAŞA</v>
          </cell>
          <cell r="H1856" t="str">
            <v>Dağıtım-OG</v>
          </cell>
          <cell r="I1856" t="str">
            <v>Uzun</v>
          </cell>
          <cell r="J1856" t="str">
            <v>Şebeke işletmecisi</v>
          </cell>
          <cell r="K1856" t="str">
            <v>Bildirimsiz</v>
          </cell>
          <cell r="O1856">
            <v>35</v>
          </cell>
          <cell r="P1856">
            <v>3656</v>
          </cell>
          <cell r="Q1856">
            <v>3</v>
          </cell>
          <cell r="R1856">
            <v>1</v>
          </cell>
          <cell r="S1856">
            <v>1</v>
          </cell>
          <cell r="T1856">
            <v>0</v>
          </cell>
          <cell r="U1856">
            <v>1422.7499999804422</v>
          </cell>
          <cell r="V1856">
            <v>148616.39999795705</v>
          </cell>
          <cell r="W1856">
            <v>121.94999999832362</v>
          </cell>
          <cell r="X1856">
            <v>40.649999999441206</v>
          </cell>
          <cell r="Y1856">
            <v>40.649999999441206</v>
          </cell>
          <cell r="Z1856">
            <v>0</v>
          </cell>
        </row>
        <row r="1857">
          <cell r="C1857" t="str">
            <v>TEKİRDAĞ</v>
          </cell>
          <cell r="D1857" t="str">
            <v>HAYRABOLU</v>
          </cell>
          <cell r="H1857" t="str">
            <v>Dağıtım-AG</v>
          </cell>
          <cell r="I1857" t="str">
            <v>Uzun</v>
          </cell>
          <cell r="J1857" t="str">
            <v>Şebeke işletmecisi</v>
          </cell>
          <cell r="K1857" t="str">
            <v>Bildirimsiz</v>
          </cell>
          <cell r="O1857">
            <v>0</v>
          </cell>
          <cell r="P1857">
            <v>0</v>
          </cell>
          <cell r="Q1857">
            <v>0</v>
          </cell>
          <cell r="R1857">
            <v>2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81.166666655335575</v>
          </cell>
          <cell r="Y1857">
            <v>0</v>
          </cell>
          <cell r="Z1857">
            <v>0</v>
          </cell>
        </row>
        <row r="1858">
          <cell r="C1858" t="str">
            <v>EDİRNE</v>
          </cell>
          <cell r="D1858" t="str">
            <v>KEŞAN</v>
          </cell>
          <cell r="H1858" t="str">
            <v>Dağıtım-AG</v>
          </cell>
          <cell r="I1858" t="str">
            <v>Uzun</v>
          </cell>
          <cell r="J1858" t="str">
            <v>Şebeke işletmecisi</v>
          </cell>
          <cell r="K1858" t="str">
            <v>Bildirimsiz</v>
          </cell>
          <cell r="O1858">
            <v>0</v>
          </cell>
          <cell r="P1858">
            <v>37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1500.9666667005513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</row>
        <row r="1859">
          <cell r="C1859" t="str">
            <v>EDİRNE</v>
          </cell>
          <cell r="D1859" t="str">
            <v>EDİRNEMERKEZ</v>
          </cell>
          <cell r="H1859" t="str">
            <v>Dağıtım-OG</v>
          </cell>
          <cell r="I1859" t="str">
            <v>Uzun</v>
          </cell>
          <cell r="J1859" t="str">
            <v>Şebeke İşletmecisi</v>
          </cell>
          <cell r="K1859" t="str">
            <v>Bildirimsiz</v>
          </cell>
          <cell r="O1859">
            <v>4</v>
          </cell>
          <cell r="P1859">
            <v>108</v>
          </cell>
          <cell r="Q1859">
            <v>0</v>
          </cell>
          <cell r="R1859">
            <v>0</v>
          </cell>
          <cell r="S1859">
            <v>5</v>
          </cell>
          <cell r="T1859">
            <v>0</v>
          </cell>
          <cell r="U1859">
            <v>162.06666666548699</v>
          </cell>
          <cell r="V1859">
            <v>4375.7999999681488</v>
          </cell>
          <cell r="W1859">
            <v>0</v>
          </cell>
          <cell r="X1859">
            <v>0</v>
          </cell>
          <cell r="Y1859">
            <v>202.58333333185874</v>
          </cell>
          <cell r="Z1859">
            <v>0</v>
          </cell>
        </row>
        <row r="1860">
          <cell r="C1860" t="str">
            <v>KIRKLARELİ</v>
          </cell>
          <cell r="D1860" t="str">
            <v>BABAESKİ</v>
          </cell>
          <cell r="H1860" t="str">
            <v>Dağıtım-AG</v>
          </cell>
          <cell r="I1860" t="str">
            <v>Uzun</v>
          </cell>
          <cell r="J1860" t="str">
            <v>Şebeke işletmecisi</v>
          </cell>
          <cell r="K1860" t="str">
            <v>Bildirimsiz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28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1133.5333334002644</v>
          </cell>
        </row>
        <row r="1861">
          <cell r="C1861" t="str">
            <v>KIRKLARELİ</v>
          </cell>
          <cell r="D1861" t="str">
            <v>LÜLEBURGAZ</v>
          </cell>
          <cell r="H1861" t="str">
            <v>Dağıtım-AG</v>
          </cell>
          <cell r="I1861" t="str">
            <v>Uzun</v>
          </cell>
          <cell r="J1861" t="str">
            <v>Şebeke işletmecisi</v>
          </cell>
          <cell r="K1861" t="str">
            <v>Bildirimsiz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4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161.93333334289491</v>
          </cell>
        </row>
        <row r="1862">
          <cell r="C1862" t="str">
            <v>KIRKLARELİ</v>
          </cell>
          <cell r="D1862" t="str">
            <v>DEMİRKÖY</v>
          </cell>
          <cell r="H1862" t="str">
            <v>Dağıtım-OG</v>
          </cell>
          <cell r="I1862" t="str">
            <v>Uzun</v>
          </cell>
          <cell r="J1862" t="str">
            <v>Şebeke işletmecisi</v>
          </cell>
          <cell r="K1862" t="str">
            <v>Bildirimsiz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5</v>
          </cell>
          <cell r="T1862">
            <v>58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202.41666662623174</v>
          </cell>
          <cell r="Z1862">
            <v>2348.0333328642882</v>
          </cell>
        </row>
        <row r="1863">
          <cell r="C1863" t="str">
            <v>KIRKLARELİ</v>
          </cell>
          <cell r="D1863" t="str">
            <v>BABAESKİ</v>
          </cell>
          <cell r="H1863" t="str">
            <v>Dağıtım-AG</v>
          </cell>
          <cell r="I1863" t="str">
            <v>Uzun</v>
          </cell>
          <cell r="J1863" t="str">
            <v>Şebeke işletmecisi</v>
          </cell>
          <cell r="K1863" t="str">
            <v>Bildirimsiz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73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2954.0666665567551</v>
          </cell>
        </row>
        <row r="1864">
          <cell r="C1864" t="str">
            <v>EDİRNE</v>
          </cell>
          <cell r="D1864" t="str">
            <v>UZUNKÖPRÜ</v>
          </cell>
          <cell r="H1864" t="str">
            <v>Dağıtım-OG</v>
          </cell>
          <cell r="I1864" t="str">
            <v>Uzun</v>
          </cell>
          <cell r="J1864" t="str">
            <v>Şebeke işletmecisi</v>
          </cell>
          <cell r="K1864" t="str">
            <v>Bildirimsiz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3</v>
          </cell>
          <cell r="T1864">
            <v>108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121.39999999548309</v>
          </cell>
          <cell r="Z1864">
            <v>4370.3999998373911</v>
          </cell>
        </row>
        <row r="1865">
          <cell r="C1865" t="str">
            <v>TEKİRDAĞ</v>
          </cell>
          <cell r="D1865" t="str">
            <v>KAPAKLI</v>
          </cell>
          <cell r="H1865" t="str">
            <v>Dağıtım-AG</v>
          </cell>
          <cell r="I1865" t="str">
            <v>Uzun</v>
          </cell>
          <cell r="J1865" t="str">
            <v>Şebeke işletmecisi</v>
          </cell>
          <cell r="K1865" t="str">
            <v>Bildirimsiz</v>
          </cell>
          <cell r="O1865">
            <v>0</v>
          </cell>
          <cell r="P1865">
            <v>54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2184.2999997083098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</row>
        <row r="1866">
          <cell r="C1866" t="str">
            <v>TEKİRDAĞ</v>
          </cell>
          <cell r="D1866" t="str">
            <v>ÇORLU</v>
          </cell>
          <cell r="H1866" t="str">
            <v>Dağıtım-OG</v>
          </cell>
          <cell r="I1866" t="str">
            <v>Uzun</v>
          </cell>
          <cell r="J1866" t="str">
            <v>Şebeke işletmecisi</v>
          </cell>
          <cell r="K1866" t="str">
            <v>Bildirimsiz</v>
          </cell>
          <cell r="O1866">
            <v>1</v>
          </cell>
          <cell r="P1866">
            <v>0</v>
          </cell>
          <cell r="Q1866">
            <v>0</v>
          </cell>
          <cell r="R1866">
            <v>0</v>
          </cell>
          <cell r="S1866">
            <v>6</v>
          </cell>
          <cell r="T1866">
            <v>0</v>
          </cell>
          <cell r="U1866">
            <v>40.43333332403563</v>
          </cell>
          <cell r="V1866">
            <v>0</v>
          </cell>
          <cell r="W1866">
            <v>0</v>
          </cell>
          <cell r="X1866">
            <v>0</v>
          </cell>
          <cell r="Y1866">
            <v>242.59999994421378</v>
          </cell>
          <cell r="Z1866">
            <v>0</v>
          </cell>
        </row>
        <row r="1867">
          <cell r="C1867" t="str">
            <v>KIRKLARELİ</v>
          </cell>
          <cell r="D1867" t="str">
            <v>KIRKLARELİMERKEZ</v>
          </cell>
          <cell r="H1867" t="str">
            <v>Dağıtım-OG</v>
          </cell>
          <cell r="I1867" t="str">
            <v>Uzun</v>
          </cell>
          <cell r="J1867" t="str">
            <v>Şebeke işletmecisi</v>
          </cell>
          <cell r="K1867" t="str">
            <v>Bildirimli</v>
          </cell>
          <cell r="O1867">
            <v>0</v>
          </cell>
          <cell r="P1867">
            <v>148</v>
          </cell>
          <cell r="Q1867">
            <v>0</v>
          </cell>
          <cell r="R1867">
            <v>2</v>
          </cell>
          <cell r="S1867">
            <v>0</v>
          </cell>
          <cell r="T1867">
            <v>0</v>
          </cell>
          <cell r="U1867">
            <v>0</v>
          </cell>
          <cell r="V1867">
            <v>5981.6666662646458</v>
          </cell>
          <cell r="W1867">
            <v>0</v>
          </cell>
          <cell r="X1867">
            <v>80.833333327900618</v>
          </cell>
          <cell r="Y1867">
            <v>0</v>
          </cell>
          <cell r="Z1867">
            <v>0</v>
          </cell>
        </row>
        <row r="1868">
          <cell r="C1868" t="str">
            <v>EDİRNE</v>
          </cell>
          <cell r="D1868" t="str">
            <v>KEŞAN</v>
          </cell>
          <cell r="H1868" t="str">
            <v>Dağıtım-AG</v>
          </cell>
          <cell r="I1868" t="str">
            <v>Uzun</v>
          </cell>
          <cell r="J1868" t="str">
            <v>Şebeke işletmecisi</v>
          </cell>
          <cell r="K1868" t="str">
            <v>Bildirimsiz</v>
          </cell>
          <cell r="O1868">
            <v>0</v>
          </cell>
          <cell r="P1868">
            <v>18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726.59999992931262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</row>
        <row r="1869">
          <cell r="C1869" t="str">
            <v>EDİRNE</v>
          </cell>
          <cell r="D1869" t="str">
            <v>EDİRNEMERKEZ</v>
          </cell>
          <cell r="H1869" t="str">
            <v>Dağıtım-OG</v>
          </cell>
          <cell r="I1869" t="str">
            <v>Uzun</v>
          </cell>
          <cell r="J1869" t="str">
            <v>Şebeke işletmecisi</v>
          </cell>
          <cell r="K1869" t="str">
            <v>Bildirimsiz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3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120.65000000875443</v>
          </cell>
          <cell r="Z1869">
            <v>0</v>
          </cell>
        </row>
        <row r="1870">
          <cell r="C1870" t="str">
            <v>TEKİRDAĞ</v>
          </cell>
          <cell r="D1870" t="str">
            <v>ŞARKÖY</v>
          </cell>
          <cell r="H1870" t="str">
            <v>Dağıtım-OG</v>
          </cell>
          <cell r="I1870" t="str">
            <v>Uzun</v>
          </cell>
          <cell r="J1870" t="str">
            <v>Şebeke işletmecisi</v>
          </cell>
          <cell r="K1870" t="str">
            <v>Bildirimsiz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1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40.199999999022111</v>
          </cell>
          <cell r="Z1870">
            <v>0</v>
          </cell>
        </row>
        <row r="1871">
          <cell r="C1871" t="str">
            <v>TEKİRDAĞ</v>
          </cell>
          <cell r="D1871" t="str">
            <v>MARMARAEREĞLİSİ</v>
          </cell>
          <cell r="H1871" t="str">
            <v>Dağıtım-AG</v>
          </cell>
          <cell r="I1871" t="str">
            <v>Uzun</v>
          </cell>
          <cell r="J1871" t="str">
            <v>Şebeke işletmecisi</v>
          </cell>
          <cell r="K1871" t="str">
            <v>Bildirimsiz</v>
          </cell>
          <cell r="O1871">
            <v>0</v>
          </cell>
          <cell r="P1871">
            <v>3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120.59999999706633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</row>
        <row r="1872">
          <cell r="C1872" t="str">
            <v>KIRKLARELİ</v>
          </cell>
          <cell r="D1872" t="str">
            <v>DEMİRKÖY</v>
          </cell>
          <cell r="H1872" t="str">
            <v>Dağıtım-OG</v>
          </cell>
          <cell r="I1872" t="str">
            <v>Uzun</v>
          </cell>
          <cell r="J1872" t="str">
            <v>Şebeke işletmecisi</v>
          </cell>
          <cell r="K1872" t="str">
            <v>Bildirimsiz</v>
          </cell>
          <cell r="O1872">
            <v>0</v>
          </cell>
          <cell r="P1872">
            <v>0</v>
          </cell>
          <cell r="Q1872">
            <v>1</v>
          </cell>
          <cell r="R1872">
            <v>11</v>
          </cell>
          <cell r="S1872">
            <v>3</v>
          </cell>
          <cell r="T1872">
            <v>440</v>
          </cell>
          <cell r="U1872">
            <v>0</v>
          </cell>
          <cell r="V1872">
            <v>0</v>
          </cell>
          <cell r="W1872">
            <v>40.199999999022111</v>
          </cell>
          <cell r="X1872">
            <v>442.19999998924322</v>
          </cell>
          <cell r="Y1872">
            <v>120.59999999706633</v>
          </cell>
          <cell r="Z1872">
            <v>17687.999999569729</v>
          </cell>
        </row>
        <row r="1873">
          <cell r="C1873" t="str">
            <v>EDİRNE</v>
          </cell>
          <cell r="D1873" t="str">
            <v>UZUNKÖPRÜ</v>
          </cell>
          <cell r="H1873" t="str">
            <v>Dağıtım-OG</v>
          </cell>
          <cell r="I1873" t="str">
            <v>Uzun</v>
          </cell>
          <cell r="J1873" t="str">
            <v>Şebeke işletmecisi</v>
          </cell>
          <cell r="K1873" t="str">
            <v>Bildirimsiz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283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11362.449999380624</v>
          </cell>
        </row>
        <row r="1874">
          <cell r="C1874" t="str">
            <v>KIRKLARELİ</v>
          </cell>
          <cell r="D1874" t="str">
            <v>LÜLEBURGAZ</v>
          </cell>
          <cell r="H1874" t="str">
            <v>Dağıtım-OG</v>
          </cell>
          <cell r="I1874" t="str">
            <v>Uzun</v>
          </cell>
          <cell r="J1874" t="str">
            <v>Şebeke işletmecisi</v>
          </cell>
          <cell r="K1874" t="str">
            <v>Bildirimsiz</v>
          </cell>
          <cell r="O1874">
            <v>0</v>
          </cell>
          <cell r="P1874">
            <v>0</v>
          </cell>
          <cell r="Q1874">
            <v>3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120.44999999343418</v>
          </cell>
          <cell r="X1874">
            <v>0</v>
          </cell>
          <cell r="Y1874">
            <v>0</v>
          </cell>
          <cell r="Z1874">
            <v>0</v>
          </cell>
        </row>
        <row r="1875">
          <cell r="C1875" t="str">
            <v>TEKİRDAĞ</v>
          </cell>
          <cell r="D1875" t="str">
            <v>SÜLEYMANPAŞA</v>
          </cell>
          <cell r="H1875" t="str">
            <v>Dağıtım-AG</v>
          </cell>
          <cell r="I1875" t="str">
            <v>Uzun</v>
          </cell>
          <cell r="J1875" t="str">
            <v>Şebeke işletmecisi</v>
          </cell>
          <cell r="K1875" t="str">
            <v>Bildirimsiz</v>
          </cell>
          <cell r="O1875">
            <v>0</v>
          </cell>
          <cell r="P1875">
            <v>34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1364.5333334826864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</row>
        <row r="1876">
          <cell r="C1876" t="str">
            <v>KIRKLARELİ</v>
          </cell>
          <cell r="D1876" t="str">
            <v>BABAESKİ</v>
          </cell>
          <cell r="H1876" t="str">
            <v>Dağıtım-AG</v>
          </cell>
          <cell r="I1876" t="str">
            <v>Uzun</v>
          </cell>
          <cell r="J1876" t="str">
            <v>Şebeke işletmecisi</v>
          </cell>
          <cell r="K1876" t="str">
            <v>Bildirimsiz</v>
          </cell>
          <cell r="O1876">
            <v>0</v>
          </cell>
          <cell r="P1876">
            <v>42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1685.600000184495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</row>
        <row r="1877">
          <cell r="C1877" t="str">
            <v>TEKİRDAĞ</v>
          </cell>
          <cell r="D1877" t="str">
            <v>MARMARAEREĞLİSİ</v>
          </cell>
          <cell r="H1877" t="str">
            <v>Dağıtım-OG</v>
          </cell>
          <cell r="I1877" t="str">
            <v>Uzun</v>
          </cell>
          <cell r="J1877" t="str">
            <v>Şebeke işletmecisi</v>
          </cell>
          <cell r="K1877" t="str">
            <v>Bildirimsiz</v>
          </cell>
          <cell r="O1877">
            <v>0</v>
          </cell>
          <cell r="P1877">
            <v>0</v>
          </cell>
          <cell r="Q1877">
            <v>3</v>
          </cell>
          <cell r="R1877">
            <v>635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120.29999998980202</v>
          </cell>
          <cell r="X1877">
            <v>25463.499997841427</v>
          </cell>
          <cell r="Y1877">
            <v>0</v>
          </cell>
          <cell r="Z1877">
            <v>0</v>
          </cell>
        </row>
        <row r="1878">
          <cell r="C1878" t="str">
            <v>KIRKLARELİ</v>
          </cell>
          <cell r="D1878" t="str">
            <v>BABAESKİ</v>
          </cell>
          <cell r="H1878" t="str">
            <v>Dağıtım-AG</v>
          </cell>
          <cell r="I1878" t="str">
            <v>Uzun</v>
          </cell>
          <cell r="J1878" t="str">
            <v>Şebeke işletmecisi</v>
          </cell>
          <cell r="K1878" t="str">
            <v>Bildirimsiz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37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1480.0000001722947</v>
          </cell>
        </row>
        <row r="1879">
          <cell r="C1879" t="str">
            <v>TEKİRDAĞ</v>
          </cell>
          <cell r="D1879" t="str">
            <v>ÇORLU</v>
          </cell>
          <cell r="H1879" t="str">
            <v>Dağıtım-OG</v>
          </cell>
          <cell r="I1879" t="str">
            <v>Uzun</v>
          </cell>
          <cell r="J1879" t="str">
            <v>Şebeke işletmecisi</v>
          </cell>
          <cell r="K1879" t="str">
            <v>Bildirimsiz</v>
          </cell>
          <cell r="O1879">
            <v>1</v>
          </cell>
          <cell r="P1879">
            <v>0</v>
          </cell>
          <cell r="Q1879">
            <v>0</v>
          </cell>
          <cell r="R1879">
            <v>0</v>
          </cell>
          <cell r="S1879">
            <v>6</v>
          </cell>
          <cell r="T1879">
            <v>0</v>
          </cell>
          <cell r="U1879">
            <v>40.000000004656613</v>
          </cell>
          <cell r="V1879">
            <v>0</v>
          </cell>
          <cell r="W1879">
            <v>0</v>
          </cell>
          <cell r="X1879">
            <v>0</v>
          </cell>
          <cell r="Y1879">
            <v>240.00000002793968</v>
          </cell>
          <cell r="Z1879">
            <v>0</v>
          </cell>
        </row>
        <row r="1880">
          <cell r="C1880" t="str">
            <v>TEKİRDAĞ</v>
          </cell>
          <cell r="D1880" t="str">
            <v>SARAY</v>
          </cell>
          <cell r="H1880" t="str">
            <v>Dağıtım-AG</v>
          </cell>
          <cell r="I1880" t="str">
            <v>Uzun</v>
          </cell>
          <cell r="J1880" t="str">
            <v>Şebeke işletmecisi</v>
          </cell>
          <cell r="K1880" t="str">
            <v>Bildirimsiz</v>
          </cell>
          <cell r="O1880">
            <v>0</v>
          </cell>
          <cell r="P1880">
            <v>0</v>
          </cell>
          <cell r="Q1880">
            <v>0</v>
          </cell>
          <cell r="R1880">
            <v>14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559.99999991850927</v>
          </cell>
          <cell r="Y1880">
            <v>0</v>
          </cell>
          <cell r="Z1880">
            <v>0</v>
          </cell>
        </row>
        <row r="1881">
          <cell r="C1881" t="str">
            <v>TEKİRDAĞ</v>
          </cell>
          <cell r="D1881" t="str">
            <v>ÇORLU</v>
          </cell>
          <cell r="H1881" t="str">
            <v>Dağıtım-AG</v>
          </cell>
          <cell r="I1881" t="str">
            <v>Uzun</v>
          </cell>
          <cell r="J1881" t="str">
            <v>Şebeke işletmecisi</v>
          </cell>
          <cell r="K1881" t="str">
            <v>Bildirimsiz</v>
          </cell>
          <cell r="O1881">
            <v>0</v>
          </cell>
          <cell r="P1881">
            <v>53</v>
          </cell>
          <cell r="Q1881">
            <v>0</v>
          </cell>
          <cell r="R1881">
            <v>0</v>
          </cell>
          <cell r="S1881">
            <v>0</v>
          </cell>
          <cell r="T1881">
            <v>5</v>
          </cell>
          <cell r="U1881">
            <v>0</v>
          </cell>
          <cell r="V1881">
            <v>2119.9999996914994</v>
          </cell>
          <cell r="W1881">
            <v>0</v>
          </cell>
          <cell r="X1881">
            <v>0</v>
          </cell>
          <cell r="Y1881">
            <v>0</v>
          </cell>
          <cell r="Z1881">
            <v>199.99999997089617</v>
          </cell>
        </row>
        <row r="1882">
          <cell r="C1882" t="str">
            <v>EDİRNE</v>
          </cell>
          <cell r="D1882" t="str">
            <v>EDİRNEMERKEZ</v>
          </cell>
          <cell r="H1882" t="str">
            <v>Dağıtım-AG</v>
          </cell>
          <cell r="I1882" t="str">
            <v>Uzun</v>
          </cell>
          <cell r="J1882" t="str">
            <v>Şebeke işletmecisi</v>
          </cell>
          <cell r="K1882" t="str">
            <v>Bildirimsiz</v>
          </cell>
          <cell r="O1882">
            <v>0</v>
          </cell>
          <cell r="P1882">
            <v>496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19839.9999971129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</row>
        <row r="1883">
          <cell r="C1883" t="str">
            <v>KIRKLARELİ</v>
          </cell>
          <cell r="D1883" t="str">
            <v>PINARHİSAR</v>
          </cell>
          <cell r="H1883" t="str">
            <v>Dağıtım-AG</v>
          </cell>
          <cell r="I1883" t="str">
            <v>Uzun</v>
          </cell>
          <cell r="J1883" t="str">
            <v>Şebeke işletmecisi</v>
          </cell>
          <cell r="K1883" t="str">
            <v>Bildirimsiz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52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2079.9999996973202</v>
          </cell>
        </row>
        <row r="1884">
          <cell r="C1884" t="str">
            <v>EDİRNE</v>
          </cell>
          <cell r="D1884" t="str">
            <v>KEŞAN</v>
          </cell>
          <cell r="H1884" t="str">
            <v>Dağıtım-OG</v>
          </cell>
          <cell r="I1884" t="str">
            <v>Uzun</v>
          </cell>
          <cell r="J1884" t="str">
            <v>Şebeke İşletmecisi</v>
          </cell>
          <cell r="K1884" t="str">
            <v>Bildirimsiz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6</v>
          </cell>
          <cell r="T1884">
            <v>3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239.80000004405156</v>
          </cell>
          <cell r="Z1884">
            <v>119.90000002202578</v>
          </cell>
        </row>
        <row r="1885">
          <cell r="C1885" t="str">
            <v>TEKİRDAĞ</v>
          </cell>
          <cell r="D1885" t="str">
            <v>MARMARAEREĞLİSİ</v>
          </cell>
          <cell r="H1885" t="str">
            <v>Dağıtım-OG</v>
          </cell>
          <cell r="I1885" t="str">
            <v>Uzun</v>
          </cell>
          <cell r="J1885" t="str">
            <v>Şebeke işletmecisi</v>
          </cell>
          <cell r="K1885" t="str">
            <v>Bildirimsiz</v>
          </cell>
          <cell r="O1885">
            <v>19</v>
          </cell>
          <cell r="P1885">
            <v>19077</v>
          </cell>
          <cell r="Q1885">
            <v>8</v>
          </cell>
          <cell r="R1885">
            <v>5775</v>
          </cell>
          <cell r="S1885">
            <v>1</v>
          </cell>
          <cell r="T1885">
            <v>3</v>
          </cell>
          <cell r="U1885">
            <v>759.36666660709307</v>
          </cell>
          <cell r="V1885">
            <v>762444.09994018497</v>
          </cell>
          <cell r="W1885">
            <v>319.73333330824971</v>
          </cell>
          <cell r="X1885">
            <v>230807.49998189276</v>
          </cell>
          <cell r="Y1885">
            <v>39.966666663531214</v>
          </cell>
          <cell r="Z1885">
            <v>119.89999999059364</v>
          </cell>
        </row>
        <row r="1886">
          <cell r="C1886" t="str">
            <v>TEKİRDAĞ</v>
          </cell>
          <cell r="D1886" t="str">
            <v>ÇERKEZKÖY</v>
          </cell>
          <cell r="H1886" t="str">
            <v>Dağıtım-AG</v>
          </cell>
          <cell r="I1886" t="str">
            <v>Uzun</v>
          </cell>
          <cell r="J1886" t="str">
            <v>Şebeke işletmecisi</v>
          </cell>
          <cell r="K1886" t="str">
            <v>Bildirimsiz</v>
          </cell>
          <cell r="O1886">
            <v>0</v>
          </cell>
          <cell r="P1886">
            <v>125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4993.7500004307367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</row>
        <row r="1887">
          <cell r="C1887" t="str">
            <v>TEKİRDAĞ</v>
          </cell>
          <cell r="D1887" t="str">
            <v>MARMARAEREĞLİSİ</v>
          </cell>
          <cell r="H1887" t="str">
            <v>Dağıtım-AG</v>
          </cell>
          <cell r="I1887" t="str">
            <v>Uzun</v>
          </cell>
          <cell r="J1887" t="str">
            <v>Şebeke İşletmecisi</v>
          </cell>
          <cell r="K1887" t="str">
            <v>Bildirimsiz</v>
          </cell>
          <cell r="O1887">
            <v>0</v>
          </cell>
          <cell r="P1887">
            <v>0</v>
          </cell>
          <cell r="Q1887">
            <v>0</v>
          </cell>
          <cell r="R1887">
            <v>98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3911.8333329074085</v>
          </cell>
          <cell r="Y1887">
            <v>0</v>
          </cell>
          <cell r="Z1887">
            <v>0</v>
          </cell>
        </row>
        <row r="1888">
          <cell r="C1888" t="str">
            <v>EDİRNE</v>
          </cell>
          <cell r="D1888" t="str">
            <v>UZUNKÖPRÜ</v>
          </cell>
          <cell r="H1888" t="str">
            <v>Dağıtım-OG</v>
          </cell>
          <cell r="I1888" t="str">
            <v>Uzun</v>
          </cell>
          <cell r="J1888" t="str">
            <v>Şebeke işletmecisi</v>
          </cell>
          <cell r="K1888" t="str">
            <v>Bildirimsiz</v>
          </cell>
          <cell r="O1888">
            <v>5</v>
          </cell>
          <cell r="P1888">
            <v>0</v>
          </cell>
          <cell r="Q1888">
            <v>0</v>
          </cell>
          <cell r="R1888">
            <v>0</v>
          </cell>
          <cell r="S1888">
            <v>3</v>
          </cell>
          <cell r="T1888">
            <v>0</v>
          </cell>
          <cell r="U1888">
            <v>199.33333335793577</v>
          </cell>
          <cell r="V1888">
            <v>0</v>
          </cell>
          <cell r="W1888">
            <v>0</v>
          </cell>
          <cell r="X1888">
            <v>0</v>
          </cell>
          <cell r="Y1888">
            <v>119.60000001476146</v>
          </cell>
          <cell r="Z1888">
            <v>0</v>
          </cell>
        </row>
        <row r="1889">
          <cell r="C1889" t="str">
            <v>EDİRNE</v>
          </cell>
          <cell r="D1889" t="str">
            <v>EDİRNEMERKEZ</v>
          </cell>
          <cell r="H1889" t="str">
            <v>Dağıtım-AG</v>
          </cell>
          <cell r="I1889" t="str">
            <v>Uzun</v>
          </cell>
          <cell r="J1889" t="str">
            <v>Şebeke İşletmecisi</v>
          </cell>
          <cell r="K1889" t="str">
            <v>Bildirimsiz</v>
          </cell>
          <cell r="O1889">
            <v>0</v>
          </cell>
          <cell r="P1889">
            <v>199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7923.5166674049105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</row>
        <row r="1890">
          <cell r="C1890" t="str">
            <v>TEKİRDAĞ</v>
          </cell>
          <cell r="D1890" t="str">
            <v>MALKARA</v>
          </cell>
          <cell r="H1890" t="str">
            <v>Dağıtım-OG</v>
          </cell>
          <cell r="I1890" t="str">
            <v>Uzun</v>
          </cell>
          <cell r="J1890" t="str">
            <v>Şebeke işletmecisi</v>
          </cell>
          <cell r="K1890" t="str">
            <v>Bildirimsiz</v>
          </cell>
          <cell r="O1890">
            <v>0</v>
          </cell>
          <cell r="P1890">
            <v>94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3739.6333329495974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</row>
        <row r="1891">
          <cell r="C1891" t="str">
            <v>KIRKLARELİ</v>
          </cell>
          <cell r="D1891" t="str">
            <v>VİZE</v>
          </cell>
          <cell r="H1891" t="str">
            <v>Dağıtım-OG</v>
          </cell>
          <cell r="I1891" t="str">
            <v>Uzun</v>
          </cell>
          <cell r="J1891" t="str">
            <v>Şebeke işletmecisi</v>
          </cell>
          <cell r="K1891" t="str">
            <v>Bildirimsiz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459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18237.600002379622</v>
          </cell>
        </row>
        <row r="1892">
          <cell r="C1892" t="str">
            <v>KIRKLARELİ</v>
          </cell>
          <cell r="D1892" t="str">
            <v>BABAESKİ</v>
          </cell>
          <cell r="H1892" t="str">
            <v>Dağıtım-OG</v>
          </cell>
          <cell r="I1892" t="str">
            <v>Uzun</v>
          </cell>
          <cell r="J1892" t="str">
            <v>Şebeke işletmecisi</v>
          </cell>
          <cell r="K1892" t="str">
            <v>Bildirimsiz</v>
          </cell>
          <cell r="O1892">
            <v>18</v>
          </cell>
          <cell r="P1892">
            <v>17855</v>
          </cell>
          <cell r="Q1892">
            <v>0</v>
          </cell>
          <cell r="R1892">
            <v>17</v>
          </cell>
          <cell r="S1892">
            <v>79</v>
          </cell>
          <cell r="T1892">
            <v>4273</v>
          </cell>
          <cell r="U1892">
            <v>714.59999995306134</v>
          </cell>
          <cell r="V1892">
            <v>708843.49995343946</v>
          </cell>
          <cell r="W1892">
            <v>0</v>
          </cell>
          <cell r="X1892">
            <v>674.89999995566905</v>
          </cell>
          <cell r="Y1892">
            <v>3136.2999997939914</v>
          </cell>
          <cell r="Z1892">
            <v>169638.09998885728</v>
          </cell>
        </row>
        <row r="1893">
          <cell r="C1893" t="str">
            <v>TEKİRDAĞ</v>
          </cell>
          <cell r="D1893" t="str">
            <v>SÜLEYMANPAŞA</v>
          </cell>
          <cell r="H1893" t="str">
            <v>Dağıtım-OG</v>
          </cell>
          <cell r="I1893" t="str">
            <v>Uzun</v>
          </cell>
          <cell r="J1893" t="str">
            <v>Şebeke işletmecisi</v>
          </cell>
          <cell r="K1893" t="str">
            <v>Bildirimsiz</v>
          </cell>
          <cell r="O1893">
            <v>3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118.94999998854473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</row>
        <row r="1894">
          <cell r="C1894" t="str">
            <v>TEKİRDAĞ</v>
          </cell>
          <cell r="D1894" t="str">
            <v>ÇORLU</v>
          </cell>
          <cell r="H1894" t="str">
            <v>Dağıtım-AG</v>
          </cell>
          <cell r="I1894" t="str">
            <v>Uzun</v>
          </cell>
          <cell r="J1894" t="str">
            <v>Şebeke işletmecisi</v>
          </cell>
          <cell r="K1894" t="str">
            <v>Bildirimsiz</v>
          </cell>
          <cell r="O1894">
            <v>0</v>
          </cell>
          <cell r="P1894">
            <v>42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1664.6000001160428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</row>
        <row r="1895">
          <cell r="C1895" t="str">
            <v>TEKİRDAĞ</v>
          </cell>
          <cell r="D1895" t="str">
            <v>ÇORLU</v>
          </cell>
          <cell r="H1895" t="str">
            <v>Dağıtım-OG</v>
          </cell>
          <cell r="I1895" t="str">
            <v>Uzun</v>
          </cell>
          <cell r="J1895" t="str">
            <v>Şebeke işletmecisi</v>
          </cell>
          <cell r="K1895" t="str">
            <v>Bildirimsiz</v>
          </cell>
          <cell r="O1895">
            <v>6</v>
          </cell>
          <cell r="P1895">
            <v>1</v>
          </cell>
          <cell r="Q1895">
            <v>0</v>
          </cell>
          <cell r="R1895">
            <v>0</v>
          </cell>
          <cell r="S1895">
            <v>22</v>
          </cell>
          <cell r="T1895">
            <v>55</v>
          </cell>
          <cell r="U1895">
            <v>237.80000001657754</v>
          </cell>
          <cell r="V1895">
            <v>39.633333336096257</v>
          </cell>
          <cell r="W1895">
            <v>0</v>
          </cell>
          <cell r="X1895">
            <v>0</v>
          </cell>
          <cell r="Y1895">
            <v>871.93333339411765</v>
          </cell>
          <cell r="Z1895">
            <v>2179.8333334852941</v>
          </cell>
        </row>
        <row r="1896">
          <cell r="C1896" t="str">
            <v>KIRKLARELİ</v>
          </cell>
          <cell r="D1896" t="str">
            <v>LÜLEBURGAZ</v>
          </cell>
          <cell r="H1896" t="str">
            <v>Dağıtım-AG</v>
          </cell>
          <cell r="I1896" t="str">
            <v>Uzun</v>
          </cell>
          <cell r="J1896" t="str">
            <v>Şebeke işletmecisi</v>
          </cell>
          <cell r="K1896" t="str">
            <v>Bildirimsiz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4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158.53333330247551</v>
          </cell>
        </row>
        <row r="1897">
          <cell r="C1897" t="str">
            <v>KIRKLARELİ</v>
          </cell>
          <cell r="D1897" t="str">
            <v>KIRKLARELİMERKEZ</v>
          </cell>
          <cell r="H1897" t="str">
            <v>Dağıtım-OG</v>
          </cell>
          <cell r="I1897" t="str">
            <v>Uzun</v>
          </cell>
          <cell r="J1897" t="str">
            <v>Şebeke işletmecisi</v>
          </cell>
          <cell r="K1897" t="str">
            <v>Bildirimli</v>
          </cell>
          <cell r="O1897">
            <v>0</v>
          </cell>
          <cell r="P1897">
            <v>1230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48748.99999051122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</row>
        <row r="1898">
          <cell r="C1898" t="str">
            <v>EDİRNE</v>
          </cell>
          <cell r="D1898" t="str">
            <v>EDİRNEMERKEZ</v>
          </cell>
          <cell r="H1898" t="str">
            <v>Dağıtım-OG</v>
          </cell>
          <cell r="I1898" t="str">
            <v>Uzun</v>
          </cell>
          <cell r="J1898" t="str">
            <v>Şebeke işletmecisi</v>
          </cell>
          <cell r="K1898" t="str">
            <v>Bildirimli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265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10494.000001443783</v>
          </cell>
        </row>
        <row r="1899">
          <cell r="C1899" t="str">
            <v>TEKİRDAĞ</v>
          </cell>
          <cell r="D1899" t="str">
            <v>MARMARAEREĞLİSİ</v>
          </cell>
          <cell r="H1899" t="str">
            <v>Dağıtım-OG</v>
          </cell>
          <cell r="I1899" t="str">
            <v>Uzun</v>
          </cell>
          <cell r="J1899" t="str">
            <v>Şebeke İşletmecisi</v>
          </cell>
          <cell r="K1899" t="str">
            <v>Bildirimsiz</v>
          </cell>
          <cell r="O1899">
            <v>0</v>
          </cell>
          <cell r="P1899">
            <v>0</v>
          </cell>
          <cell r="Q1899">
            <v>6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237.00000001816079</v>
          </cell>
          <cell r="X1899">
            <v>0</v>
          </cell>
          <cell r="Y1899">
            <v>0</v>
          </cell>
          <cell r="Z1899">
            <v>0</v>
          </cell>
        </row>
        <row r="1900">
          <cell r="C1900" t="str">
            <v>EDİRNE</v>
          </cell>
          <cell r="D1900" t="str">
            <v>İPSALA</v>
          </cell>
          <cell r="H1900" t="str">
            <v>Dağıtım-AG</v>
          </cell>
          <cell r="I1900" t="str">
            <v>Uzun</v>
          </cell>
          <cell r="J1900" t="str">
            <v>Şebeke işletmecisi</v>
          </cell>
          <cell r="K1900" t="str">
            <v>Bildirimsiz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21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828.79999989992939</v>
          </cell>
        </row>
        <row r="1901">
          <cell r="C1901" t="str">
            <v>KIRKLARELİ</v>
          </cell>
          <cell r="D1901" t="str">
            <v>KIRKLARELİMERKEZ</v>
          </cell>
          <cell r="H1901" t="str">
            <v>Dağıtım-OG</v>
          </cell>
          <cell r="I1901" t="str">
            <v>Uzun</v>
          </cell>
          <cell r="J1901" t="str">
            <v>Şebeke işletmecisi</v>
          </cell>
          <cell r="K1901" t="str">
            <v>Bildirimsiz</v>
          </cell>
          <cell r="O1901">
            <v>15</v>
          </cell>
          <cell r="P1901">
            <v>97</v>
          </cell>
          <cell r="Q1901">
            <v>1</v>
          </cell>
          <cell r="R1901">
            <v>0</v>
          </cell>
          <cell r="S1901">
            <v>10</v>
          </cell>
          <cell r="T1901">
            <v>1</v>
          </cell>
          <cell r="U1901">
            <v>591.99999992852099</v>
          </cell>
          <cell r="V1901">
            <v>3828.2666662044358</v>
          </cell>
          <cell r="W1901">
            <v>39.466666661901399</v>
          </cell>
          <cell r="X1901">
            <v>0</v>
          </cell>
          <cell r="Y1901">
            <v>394.66666661901399</v>
          </cell>
          <cell r="Z1901">
            <v>39.466666661901399</v>
          </cell>
        </row>
        <row r="1902">
          <cell r="C1902" t="str">
            <v>EDİRNE</v>
          </cell>
          <cell r="D1902" t="str">
            <v>KEŞAN</v>
          </cell>
          <cell r="H1902" t="str">
            <v>Dağıtım-AG</v>
          </cell>
          <cell r="I1902" t="str">
            <v>Uzun</v>
          </cell>
          <cell r="J1902" t="str">
            <v>Şebeke işletmecisi</v>
          </cell>
          <cell r="K1902" t="str">
            <v>Bildirimsiz</v>
          </cell>
          <cell r="O1902">
            <v>0</v>
          </cell>
          <cell r="P1902">
            <v>1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39.40000000060536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</row>
        <row r="1903">
          <cell r="C1903" t="str">
            <v>KIRKLARELİ</v>
          </cell>
          <cell r="D1903" t="str">
            <v>LÜLEBURGAZ</v>
          </cell>
          <cell r="H1903" t="str">
            <v>Dağıtım-OG</v>
          </cell>
          <cell r="I1903" t="str">
            <v>Uzun</v>
          </cell>
          <cell r="J1903" t="str">
            <v>Şebeke işletmecisi</v>
          </cell>
          <cell r="K1903" t="str">
            <v>Bildirimsiz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18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707.70000003743917</v>
          </cell>
          <cell r="Z1903">
            <v>0</v>
          </cell>
        </row>
        <row r="1904">
          <cell r="C1904" t="str">
            <v>KIRKLARELİ</v>
          </cell>
          <cell r="D1904" t="str">
            <v>KIRKLARELİMERKEZ</v>
          </cell>
          <cell r="H1904" t="str">
            <v>Dağıtım-OG</v>
          </cell>
          <cell r="I1904" t="str">
            <v>Uzun</v>
          </cell>
          <cell r="J1904" t="str">
            <v>Şebeke işletmecisi</v>
          </cell>
          <cell r="K1904" t="str">
            <v>Bildirimli</v>
          </cell>
          <cell r="O1904">
            <v>0</v>
          </cell>
          <cell r="P1904">
            <v>2469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96702.499996167608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</row>
        <row r="1905">
          <cell r="C1905" t="str">
            <v>TEKİRDAĞ</v>
          </cell>
          <cell r="D1905" t="str">
            <v>ÇORLU</v>
          </cell>
          <cell r="H1905" t="str">
            <v>Dağıtım-OG</v>
          </cell>
          <cell r="I1905" t="str">
            <v>Uzun</v>
          </cell>
          <cell r="J1905" t="str">
            <v>Şebeke işletmecisi</v>
          </cell>
          <cell r="K1905" t="str">
            <v>Bildirimsiz</v>
          </cell>
          <cell r="O1905">
            <v>18</v>
          </cell>
          <cell r="P1905">
            <v>1128</v>
          </cell>
          <cell r="Q1905">
            <v>0</v>
          </cell>
          <cell r="R1905">
            <v>0</v>
          </cell>
          <cell r="S1905">
            <v>0</v>
          </cell>
          <cell r="T1905">
            <v>1</v>
          </cell>
          <cell r="U1905">
            <v>703.49999999860302</v>
          </cell>
          <cell r="V1905">
            <v>44085.999999912456</v>
          </cell>
          <cell r="W1905">
            <v>0</v>
          </cell>
          <cell r="X1905">
            <v>0</v>
          </cell>
          <cell r="Y1905">
            <v>0</v>
          </cell>
          <cell r="Z1905">
            <v>39.083333333255723</v>
          </cell>
        </row>
        <row r="1906">
          <cell r="C1906" t="str">
            <v>TEKİRDAĞ</v>
          </cell>
          <cell r="D1906" t="str">
            <v>MURATLI</v>
          </cell>
          <cell r="H1906" t="str">
            <v>Dağıtım-OG</v>
          </cell>
          <cell r="I1906" t="str">
            <v>Uzun</v>
          </cell>
          <cell r="J1906" t="str">
            <v>Şebeke işletmecisi</v>
          </cell>
          <cell r="K1906" t="str">
            <v>Bildirimli</v>
          </cell>
          <cell r="O1906">
            <v>0</v>
          </cell>
          <cell r="P1906">
            <v>395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15431.333335902309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</row>
        <row r="1907">
          <cell r="C1907" t="str">
            <v>KIRKLARELİ</v>
          </cell>
          <cell r="D1907" t="str">
            <v>LÜLEBURGAZ</v>
          </cell>
          <cell r="H1907" t="str">
            <v>Dağıtım-AG</v>
          </cell>
          <cell r="I1907" t="str">
            <v>Uzun</v>
          </cell>
          <cell r="J1907" t="str">
            <v>Şebeke işletmecisi</v>
          </cell>
          <cell r="K1907" t="str">
            <v>Bildirimsiz</v>
          </cell>
          <cell r="O1907">
            <v>0</v>
          </cell>
          <cell r="P1907">
            <v>0</v>
          </cell>
          <cell r="Q1907">
            <v>0</v>
          </cell>
          <cell r="R1907">
            <v>2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78.100000005215406</v>
          </cell>
          <cell r="Y1907">
            <v>0</v>
          </cell>
          <cell r="Z1907">
            <v>0</v>
          </cell>
        </row>
        <row r="1908">
          <cell r="C1908" t="str">
            <v>EDİRNE</v>
          </cell>
          <cell r="D1908" t="str">
            <v>EDİRNEMERKEZ</v>
          </cell>
          <cell r="H1908" t="str">
            <v>Dağıtım-AG</v>
          </cell>
          <cell r="I1908" t="str">
            <v>Uzun</v>
          </cell>
          <cell r="J1908" t="str">
            <v>Şebeke işletmecisi</v>
          </cell>
          <cell r="K1908" t="str">
            <v>Bildirimsiz</v>
          </cell>
          <cell r="O1908">
            <v>0</v>
          </cell>
          <cell r="P1908">
            <v>167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6513.0000002332963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</row>
        <row r="1909">
          <cell r="C1909" t="str">
            <v>TEKİRDAĞ</v>
          </cell>
          <cell r="D1909" t="str">
            <v>MARMARAEREĞLİSİ</v>
          </cell>
          <cell r="H1909" t="str">
            <v>Dağıtım-AG</v>
          </cell>
          <cell r="I1909" t="str">
            <v>Uzun</v>
          </cell>
          <cell r="J1909" t="str">
            <v>Şebeke işletmecisi</v>
          </cell>
          <cell r="K1909" t="str">
            <v>Bildirimsiz</v>
          </cell>
          <cell r="O1909">
            <v>0</v>
          </cell>
          <cell r="P1909">
            <v>28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1092.0000000391155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</row>
        <row r="1910">
          <cell r="C1910" t="str">
            <v>TEKİRDAĞ</v>
          </cell>
          <cell r="D1910" t="str">
            <v>ÇERKEZKÖY</v>
          </cell>
          <cell r="H1910" t="str">
            <v>Dağıtım-AG</v>
          </cell>
          <cell r="I1910" t="str">
            <v>Uzun</v>
          </cell>
          <cell r="J1910" t="str">
            <v>Şebeke işletmecisi</v>
          </cell>
          <cell r="K1910" t="str">
            <v>Bildirimsiz</v>
          </cell>
          <cell r="O1910">
            <v>0</v>
          </cell>
          <cell r="P1910">
            <v>194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7565.9999982384034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</row>
        <row r="1911">
          <cell r="C1911" t="str">
            <v>EDİRNE</v>
          </cell>
          <cell r="D1911" t="str">
            <v>İPSALA</v>
          </cell>
          <cell r="H1911" t="str">
            <v>Dağıtım-OG</v>
          </cell>
          <cell r="I1911" t="str">
            <v>Uzun</v>
          </cell>
          <cell r="J1911" t="str">
            <v>Şebeke işletmecisi</v>
          </cell>
          <cell r="K1911" t="str">
            <v>Bildirimsiz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1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38.883333328412846</v>
          </cell>
          <cell r="Z1911">
            <v>0</v>
          </cell>
        </row>
        <row r="1912">
          <cell r="C1912" t="str">
            <v>TEKİRDAĞ</v>
          </cell>
          <cell r="D1912" t="str">
            <v>MALKARA</v>
          </cell>
          <cell r="H1912" t="str">
            <v>Dağıtım-OG</v>
          </cell>
          <cell r="I1912" t="str">
            <v>Uzun</v>
          </cell>
          <cell r="J1912" t="str">
            <v>Şebeke işletmecisi</v>
          </cell>
          <cell r="K1912" t="str">
            <v>Bildirimsiz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70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2719.5000005769543</v>
          </cell>
        </row>
        <row r="1913">
          <cell r="C1913" t="str">
            <v>EDİRNE</v>
          </cell>
          <cell r="D1913" t="str">
            <v>MERİÇ</v>
          </cell>
          <cell r="H1913" t="str">
            <v>Dağıtım-AG</v>
          </cell>
          <cell r="I1913" t="str">
            <v>Uzun</v>
          </cell>
          <cell r="J1913" t="str">
            <v>Şebeke işletmecisi</v>
          </cell>
          <cell r="K1913" t="str">
            <v>Bildirimsiz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69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2680.649999845773</v>
          </cell>
        </row>
        <row r="1914">
          <cell r="C1914" t="str">
            <v>TEKİRDAĞ</v>
          </cell>
          <cell r="D1914" t="str">
            <v>SÜLEYMANPAŞA</v>
          </cell>
          <cell r="H1914" t="str">
            <v>Dağıtım-AG</v>
          </cell>
          <cell r="I1914" t="str">
            <v>Uzun</v>
          </cell>
          <cell r="J1914" t="str">
            <v>Şebeke işletmecisi</v>
          </cell>
          <cell r="K1914" t="str">
            <v>Bildirimsiz</v>
          </cell>
          <cell r="O1914">
            <v>0</v>
          </cell>
          <cell r="P1914">
            <v>1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38.816666667116806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</row>
        <row r="1915">
          <cell r="C1915" t="str">
            <v>TEKİRDAĞ</v>
          </cell>
          <cell r="D1915" t="str">
            <v>MARMARAEREĞLİSİ</v>
          </cell>
          <cell r="H1915" t="str">
            <v>Dağıtım-AG</v>
          </cell>
          <cell r="I1915" t="str">
            <v>Uzun</v>
          </cell>
          <cell r="J1915" t="str">
            <v>Şebeke işletmecisi</v>
          </cell>
          <cell r="K1915" t="str">
            <v>Bildirimsiz</v>
          </cell>
          <cell r="O1915">
            <v>0</v>
          </cell>
          <cell r="P1915">
            <v>0</v>
          </cell>
          <cell r="Q1915">
            <v>0</v>
          </cell>
          <cell r="R1915">
            <v>6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232.49999997206032</v>
          </cell>
          <cell r="Y1915">
            <v>0</v>
          </cell>
          <cell r="Z1915">
            <v>0</v>
          </cell>
        </row>
        <row r="1916">
          <cell r="C1916" t="str">
            <v>TEKİRDAĞ</v>
          </cell>
          <cell r="D1916" t="str">
            <v>KAPAKLI</v>
          </cell>
          <cell r="H1916" t="str">
            <v>Dağıtım-AG</v>
          </cell>
          <cell r="I1916" t="str">
            <v>Uzun</v>
          </cell>
          <cell r="J1916" t="str">
            <v>Şebeke işletmecisi</v>
          </cell>
          <cell r="K1916" t="str">
            <v>Bildirimsiz</v>
          </cell>
          <cell r="O1916">
            <v>0</v>
          </cell>
          <cell r="P1916">
            <v>482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18661.433332383167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</row>
        <row r="1917">
          <cell r="C1917" t="str">
            <v>TEKİRDAĞ</v>
          </cell>
          <cell r="D1917" t="str">
            <v>SÜLEYMANPAŞA</v>
          </cell>
          <cell r="H1917" t="str">
            <v>Dağıtım-AG</v>
          </cell>
          <cell r="I1917" t="str">
            <v>Uzun</v>
          </cell>
          <cell r="J1917" t="str">
            <v>Şebeke işletmecisi</v>
          </cell>
          <cell r="K1917" t="str">
            <v>Bildirimsiz</v>
          </cell>
          <cell r="O1917">
            <v>0</v>
          </cell>
          <cell r="P1917">
            <v>60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2321.9999996479601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</row>
        <row r="1918">
          <cell r="C1918" t="str">
            <v>TEKİRDAĞ</v>
          </cell>
          <cell r="D1918" t="str">
            <v>KAPAKLI</v>
          </cell>
          <cell r="H1918" t="str">
            <v>Dağıtım-AG</v>
          </cell>
          <cell r="I1918" t="str">
            <v>Uzun</v>
          </cell>
          <cell r="J1918" t="str">
            <v>Şebeke işletmecisi</v>
          </cell>
          <cell r="K1918" t="str">
            <v>Bildirimsiz</v>
          </cell>
          <cell r="O1918">
            <v>0</v>
          </cell>
          <cell r="P1918">
            <v>121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4676.6499991435558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</row>
        <row r="1919">
          <cell r="C1919" t="str">
            <v>KIRKLARELİ</v>
          </cell>
          <cell r="D1919" t="str">
            <v>LÜLEBURGAZ</v>
          </cell>
          <cell r="H1919" t="str">
            <v>Dağıtım-AG</v>
          </cell>
          <cell r="I1919" t="str">
            <v>Uzun</v>
          </cell>
          <cell r="J1919" t="str">
            <v>Şebeke işletmecisi</v>
          </cell>
          <cell r="K1919" t="str">
            <v>Bildirimsiz</v>
          </cell>
          <cell r="O1919">
            <v>0</v>
          </cell>
          <cell r="P1919">
            <v>0</v>
          </cell>
          <cell r="Q1919">
            <v>0</v>
          </cell>
          <cell r="R1919">
            <v>1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38.600000002188608</v>
          </cell>
          <cell r="Y1919">
            <v>0</v>
          </cell>
          <cell r="Z1919">
            <v>0</v>
          </cell>
        </row>
        <row r="1920">
          <cell r="C1920" t="str">
            <v>TEKİRDAĞ</v>
          </cell>
          <cell r="D1920" t="str">
            <v>SÜLEYMANPAŞA</v>
          </cell>
          <cell r="H1920" t="str">
            <v>Dağıtım-AG</v>
          </cell>
          <cell r="I1920" t="str">
            <v>Uzun</v>
          </cell>
          <cell r="J1920" t="str">
            <v>Şebeke işletmecisi</v>
          </cell>
          <cell r="K1920" t="str">
            <v>Bildirimsiz</v>
          </cell>
          <cell r="O1920">
            <v>0</v>
          </cell>
          <cell r="P1920">
            <v>6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231.29999994300306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</row>
        <row r="1921">
          <cell r="C1921" t="str">
            <v>TEKİRDAĞ</v>
          </cell>
          <cell r="D1921" t="str">
            <v>ŞARKÖY</v>
          </cell>
          <cell r="H1921" t="str">
            <v>Dağıtım-AG</v>
          </cell>
          <cell r="I1921" t="str">
            <v>Uzun</v>
          </cell>
          <cell r="J1921" t="str">
            <v>Şebeke işletmecisi</v>
          </cell>
          <cell r="K1921" t="str">
            <v>Bildirimsiz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6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231.20000004535541</v>
          </cell>
        </row>
        <row r="1922">
          <cell r="C1922" t="str">
            <v>EDİRNE</v>
          </cell>
          <cell r="D1922" t="str">
            <v>UZUNKÖPRÜ</v>
          </cell>
          <cell r="H1922" t="str">
            <v>Dağıtım-OG</v>
          </cell>
          <cell r="I1922" t="str">
            <v>Uzun</v>
          </cell>
          <cell r="J1922" t="str">
            <v>Şebeke işletmecisi</v>
          </cell>
          <cell r="K1922" t="str">
            <v>Bildirimsiz</v>
          </cell>
          <cell r="O1922">
            <v>3</v>
          </cell>
          <cell r="P1922">
            <v>0</v>
          </cell>
          <cell r="Q1922">
            <v>0</v>
          </cell>
          <cell r="R1922">
            <v>0</v>
          </cell>
          <cell r="S1922">
            <v>6</v>
          </cell>
          <cell r="T1922">
            <v>0</v>
          </cell>
          <cell r="U1922">
            <v>115.35000002710149</v>
          </cell>
          <cell r="V1922">
            <v>0</v>
          </cell>
          <cell r="W1922">
            <v>0</v>
          </cell>
          <cell r="X1922">
            <v>0</v>
          </cell>
          <cell r="Y1922">
            <v>230.70000005420297</v>
          </cell>
          <cell r="Z1922">
            <v>0</v>
          </cell>
        </row>
        <row r="1923">
          <cell r="C1923" t="str">
            <v>KIRKLARELİ</v>
          </cell>
          <cell r="D1923" t="str">
            <v>KIRKLARELİMERKEZ</v>
          </cell>
          <cell r="H1923" t="str">
            <v>Dağıtım-OG</v>
          </cell>
          <cell r="I1923" t="str">
            <v>Uzun</v>
          </cell>
          <cell r="J1923" t="str">
            <v>Şebeke işletmecisi</v>
          </cell>
          <cell r="K1923" t="str">
            <v>Bildirimsiz</v>
          </cell>
          <cell r="O1923">
            <v>11</v>
          </cell>
          <cell r="P1923">
            <v>13</v>
          </cell>
          <cell r="Q1923">
            <v>1</v>
          </cell>
          <cell r="R1923">
            <v>2</v>
          </cell>
          <cell r="S1923">
            <v>75</v>
          </cell>
          <cell r="T1923">
            <v>4474</v>
          </cell>
          <cell r="U1923">
            <v>422.76666672318242</v>
          </cell>
          <cell r="V1923">
            <v>499.63333340012468</v>
          </cell>
          <cell r="W1923">
            <v>38.43333333847113</v>
          </cell>
          <cell r="X1923">
            <v>76.866666676942259</v>
          </cell>
          <cell r="Y1923">
            <v>2882.5000003853347</v>
          </cell>
          <cell r="Z1923">
            <v>171950.73335631983</v>
          </cell>
        </row>
        <row r="1924">
          <cell r="C1924" t="str">
            <v>EDİRNE</v>
          </cell>
          <cell r="D1924" t="str">
            <v>KEŞAN</v>
          </cell>
          <cell r="H1924" t="str">
            <v>Dağıtım-OG</v>
          </cell>
          <cell r="I1924" t="str">
            <v>Uzun</v>
          </cell>
          <cell r="J1924" t="str">
            <v>Şebeke İşletmecisi</v>
          </cell>
          <cell r="K1924" t="str">
            <v>Bildirimsiz</v>
          </cell>
          <cell r="O1924">
            <v>0</v>
          </cell>
          <cell r="P1924">
            <v>0</v>
          </cell>
          <cell r="Q1924">
            <v>3</v>
          </cell>
          <cell r="R1924">
            <v>0</v>
          </cell>
          <cell r="S1924">
            <v>2</v>
          </cell>
          <cell r="T1924">
            <v>0</v>
          </cell>
          <cell r="U1924">
            <v>0</v>
          </cell>
          <cell r="V1924">
            <v>0</v>
          </cell>
          <cell r="W1924">
            <v>115.14999998034909</v>
          </cell>
          <cell r="X1924">
            <v>0</v>
          </cell>
          <cell r="Y1924">
            <v>76.766666653566062</v>
          </cell>
          <cell r="Z1924">
            <v>0</v>
          </cell>
        </row>
        <row r="1925">
          <cell r="C1925" t="str">
            <v>EDİRNE</v>
          </cell>
          <cell r="D1925" t="str">
            <v>UZUNKÖPRÜ</v>
          </cell>
          <cell r="H1925" t="str">
            <v>Dağıtım-OG</v>
          </cell>
          <cell r="I1925" t="str">
            <v>Uzun</v>
          </cell>
          <cell r="J1925" t="str">
            <v>Şebeke İşletmecisi</v>
          </cell>
          <cell r="K1925" t="str">
            <v>Bildirimsiz</v>
          </cell>
          <cell r="O1925">
            <v>1</v>
          </cell>
          <cell r="P1925">
            <v>0</v>
          </cell>
          <cell r="Q1925">
            <v>0</v>
          </cell>
          <cell r="R1925">
            <v>0</v>
          </cell>
          <cell r="S1925">
            <v>3</v>
          </cell>
          <cell r="T1925">
            <v>0</v>
          </cell>
          <cell r="U1925">
            <v>38.333333336049691</v>
          </cell>
          <cell r="V1925">
            <v>0</v>
          </cell>
          <cell r="W1925">
            <v>0</v>
          </cell>
          <cell r="X1925">
            <v>0</v>
          </cell>
          <cell r="Y1925">
            <v>115.00000000814907</v>
          </cell>
          <cell r="Z1925">
            <v>0</v>
          </cell>
        </row>
        <row r="1926">
          <cell r="C1926" t="str">
            <v>EDİRNE</v>
          </cell>
          <cell r="D1926" t="str">
            <v>UZUNKÖPRÜ</v>
          </cell>
          <cell r="H1926" t="str">
            <v>Dağıtım-OG</v>
          </cell>
          <cell r="I1926" t="str">
            <v>Uzun</v>
          </cell>
          <cell r="J1926" t="str">
            <v>Şebeke işletmecisi</v>
          </cell>
          <cell r="K1926" t="str">
            <v>Bildirimsiz</v>
          </cell>
          <cell r="O1926">
            <v>3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115.00000000814907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</row>
        <row r="1927">
          <cell r="C1927" t="str">
            <v>KIRKLARELİ</v>
          </cell>
          <cell r="D1927" t="str">
            <v>KIRKLARELİMERKEZ</v>
          </cell>
          <cell r="H1927" t="str">
            <v>Dağıtım-OG</v>
          </cell>
          <cell r="I1927" t="str">
            <v>Uzun</v>
          </cell>
          <cell r="J1927" t="str">
            <v>Şebeke işletmecisi</v>
          </cell>
          <cell r="K1927" t="str">
            <v>Bildirimli</v>
          </cell>
          <cell r="O1927">
            <v>0</v>
          </cell>
          <cell r="P1927">
            <v>429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16437.849999493919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</row>
        <row r="1928">
          <cell r="C1928" t="str">
            <v>TEKİRDAĞ</v>
          </cell>
          <cell r="D1928" t="str">
            <v>SARAY</v>
          </cell>
          <cell r="H1928" t="str">
            <v>Dağıtım-OG</v>
          </cell>
          <cell r="I1928" t="str">
            <v>Uzun</v>
          </cell>
          <cell r="J1928" t="str">
            <v>Şebeke işletmecisi</v>
          </cell>
          <cell r="K1928" t="str">
            <v>Bildirimsiz</v>
          </cell>
          <cell r="O1928">
            <v>0</v>
          </cell>
          <cell r="P1928">
            <v>1</v>
          </cell>
          <cell r="Q1928">
            <v>0</v>
          </cell>
          <cell r="R1928">
            <v>36</v>
          </cell>
          <cell r="S1928">
            <v>0</v>
          </cell>
          <cell r="T1928">
            <v>0</v>
          </cell>
          <cell r="U1928">
            <v>0</v>
          </cell>
          <cell r="V1928">
            <v>38.316666665486991</v>
          </cell>
          <cell r="W1928">
            <v>0</v>
          </cell>
          <cell r="X1928">
            <v>1379.3999999575317</v>
          </cell>
          <cell r="Y1928">
            <v>0</v>
          </cell>
          <cell r="Z1928">
            <v>0</v>
          </cell>
        </row>
        <row r="1929">
          <cell r="C1929" t="str">
            <v>KIRKLARELİ</v>
          </cell>
          <cell r="D1929" t="str">
            <v>KIRKLARELİMERKEZ</v>
          </cell>
          <cell r="H1929" t="str">
            <v>Dağıtım-OG</v>
          </cell>
          <cell r="I1929" t="str">
            <v>Uzun</v>
          </cell>
          <cell r="J1929" t="str">
            <v>Şebeke işletmecisi</v>
          </cell>
          <cell r="K1929" t="str">
            <v>Bildirimsiz</v>
          </cell>
          <cell r="O1929">
            <v>2</v>
          </cell>
          <cell r="P1929">
            <v>1</v>
          </cell>
          <cell r="Q1929">
            <v>0</v>
          </cell>
          <cell r="R1929">
            <v>0</v>
          </cell>
          <cell r="S1929">
            <v>10</v>
          </cell>
          <cell r="T1929">
            <v>0</v>
          </cell>
          <cell r="U1929">
            <v>76.400000005960464</v>
          </cell>
          <cell r="V1929">
            <v>38.200000002980232</v>
          </cell>
          <cell r="W1929">
            <v>0</v>
          </cell>
          <cell r="X1929">
            <v>0</v>
          </cell>
          <cell r="Y1929">
            <v>382.00000002980232</v>
          </cell>
          <cell r="Z1929">
            <v>0</v>
          </cell>
        </row>
        <row r="1930">
          <cell r="C1930" t="str">
            <v>KIRKLARELİ</v>
          </cell>
          <cell r="D1930" t="str">
            <v>KIRKLARELİMERKEZ</v>
          </cell>
          <cell r="H1930" t="str">
            <v>Dağıtım-OG</v>
          </cell>
          <cell r="I1930" t="str">
            <v>Uzun</v>
          </cell>
          <cell r="J1930" t="str">
            <v>Şebeke işletmecisi</v>
          </cell>
          <cell r="K1930" t="str">
            <v>Bildirimsiz</v>
          </cell>
          <cell r="O1930">
            <v>15</v>
          </cell>
          <cell r="P1930">
            <v>178</v>
          </cell>
          <cell r="Q1930">
            <v>1</v>
          </cell>
          <cell r="R1930">
            <v>0</v>
          </cell>
          <cell r="S1930">
            <v>10</v>
          </cell>
          <cell r="T1930">
            <v>4</v>
          </cell>
          <cell r="U1930">
            <v>572.74999998626299</v>
          </cell>
          <cell r="V1930">
            <v>6796.6333331703208</v>
          </cell>
          <cell r="W1930">
            <v>38.183333332417533</v>
          </cell>
          <cell r="X1930">
            <v>0</v>
          </cell>
          <cell r="Y1930">
            <v>381.83333332417533</v>
          </cell>
          <cell r="Z1930">
            <v>152.73333332967013</v>
          </cell>
        </row>
        <row r="1931">
          <cell r="C1931" t="str">
            <v>TEKİRDAĞ</v>
          </cell>
          <cell r="D1931" t="str">
            <v>MALKARA</v>
          </cell>
          <cell r="H1931" t="str">
            <v>Dağıtım-OG</v>
          </cell>
          <cell r="I1931" t="str">
            <v>Uzun</v>
          </cell>
          <cell r="J1931" t="str">
            <v>Şebeke işletmecisi</v>
          </cell>
          <cell r="K1931" t="str">
            <v>Bildirimsiz</v>
          </cell>
          <cell r="O1931">
            <v>0</v>
          </cell>
          <cell r="P1931">
            <v>465</v>
          </cell>
          <cell r="Q1931">
            <v>0</v>
          </cell>
          <cell r="R1931">
            <v>2</v>
          </cell>
          <cell r="S1931">
            <v>0</v>
          </cell>
          <cell r="T1931">
            <v>0</v>
          </cell>
          <cell r="U1931">
            <v>0</v>
          </cell>
          <cell r="V1931">
            <v>17747.499997762498</v>
          </cell>
          <cell r="W1931">
            <v>0</v>
          </cell>
          <cell r="X1931">
            <v>76.333333323709667</v>
          </cell>
          <cell r="Y1931">
            <v>0</v>
          </cell>
          <cell r="Z1931">
            <v>0</v>
          </cell>
        </row>
        <row r="1932">
          <cell r="C1932" t="str">
            <v>EDİRNE</v>
          </cell>
          <cell r="D1932" t="str">
            <v>KEŞAN</v>
          </cell>
          <cell r="H1932" t="str">
            <v>Dağıtım-AG</v>
          </cell>
          <cell r="I1932" t="str">
            <v>Uzun</v>
          </cell>
          <cell r="J1932" t="str">
            <v>Şebeke işletmecisi</v>
          </cell>
          <cell r="K1932" t="str">
            <v>Bildirimsiz</v>
          </cell>
          <cell r="O1932">
            <v>0</v>
          </cell>
          <cell r="P1932">
            <v>223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8507.4499980581459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</row>
        <row r="1933">
          <cell r="C1933" t="str">
            <v>TEKİRDAĞ</v>
          </cell>
          <cell r="D1933" t="str">
            <v>SÜLEYMANPAŞA</v>
          </cell>
          <cell r="H1933" t="str">
            <v>Dağıtım-AG</v>
          </cell>
          <cell r="I1933" t="str">
            <v>Uzun</v>
          </cell>
          <cell r="J1933" t="str">
            <v>Şebeke işletmecisi</v>
          </cell>
          <cell r="K1933" t="str">
            <v>Bildirimsiz</v>
          </cell>
          <cell r="O1933">
            <v>0</v>
          </cell>
          <cell r="P1933">
            <v>1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38.116666671121493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</row>
        <row r="1934">
          <cell r="C1934" t="str">
            <v>KIRKLARELİ</v>
          </cell>
          <cell r="D1934" t="str">
            <v>DEMİRKÖY</v>
          </cell>
          <cell r="H1934" t="str">
            <v>Dağıtım-OG</v>
          </cell>
          <cell r="I1934" t="str">
            <v>Uzun</v>
          </cell>
          <cell r="J1934" t="str">
            <v>Şebeke işletmecisi</v>
          </cell>
          <cell r="K1934" t="str">
            <v>Bildirimsiz</v>
          </cell>
          <cell r="O1934">
            <v>0</v>
          </cell>
          <cell r="P1934">
            <v>0</v>
          </cell>
          <cell r="Q1934">
            <v>14</v>
          </cell>
          <cell r="R1934">
            <v>3803</v>
          </cell>
          <cell r="S1934">
            <v>15</v>
          </cell>
          <cell r="T1934">
            <v>666</v>
          </cell>
          <cell r="U1934">
            <v>0</v>
          </cell>
          <cell r="V1934">
            <v>0</v>
          </cell>
          <cell r="W1934">
            <v>533.6333332490176</v>
          </cell>
          <cell r="X1934">
            <v>144957.68331042957</v>
          </cell>
          <cell r="Y1934">
            <v>571.74999990966171</v>
          </cell>
          <cell r="Z1934">
            <v>25385.69999598898</v>
          </cell>
        </row>
        <row r="1935">
          <cell r="C1935" t="str">
            <v>TEKİRDAĞ</v>
          </cell>
          <cell r="D1935" t="str">
            <v>HAYRABOLU</v>
          </cell>
          <cell r="H1935" t="str">
            <v>Dağıtım-OG</v>
          </cell>
          <cell r="I1935" t="str">
            <v>Uzun</v>
          </cell>
          <cell r="J1935" t="str">
            <v>Şebeke işletmecisi</v>
          </cell>
          <cell r="K1935" t="str">
            <v>Bildirimli</v>
          </cell>
          <cell r="O1935">
            <v>0</v>
          </cell>
          <cell r="P1935">
            <v>0</v>
          </cell>
          <cell r="Q1935">
            <v>0</v>
          </cell>
          <cell r="R1935">
            <v>1101</v>
          </cell>
          <cell r="S1935">
            <v>0</v>
          </cell>
          <cell r="T1935">
            <v>5</v>
          </cell>
          <cell r="U1935">
            <v>0</v>
          </cell>
          <cell r="V1935">
            <v>0</v>
          </cell>
          <cell r="W1935">
            <v>0</v>
          </cell>
          <cell r="X1935">
            <v>41819.65000519529</v>
          </cell>
          <cell r="Y1935">
            <v>0</v>
          </cell>
          <cell r="Z1935">
            <v>189.91666669026017</v>
          </cell>
        </row>
        <row r="1936">
          <cell r="C1936" t="str">
            <v>TEKİRDAĞ</v>
          </cell>
          <cell r="D1936" t="str">
            <v>SÜLEYMANPAŞA</v>
          </cell>
          <cell r="H1936" t="str">
            <v>Dağıtım-AG</v>
          </cell>
          <cell r="I1936" t="str">
            <v>Uzun</v>
          </cell>
          <cell r="J1936" t="str">
            <v>Şebeke işletmecisi</v>
          </cell>
          <cell r="K1936" t="str">
            <v>Bildirimsiz</v>
          </cell>
          <cell r="O1936">
            <v>0</v>
          </cell>
          <cell r="P1936">
            <v>44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1669.799999864772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</row>
        <row r="1937">
          <cell r="C1937" t="str">
            <v>EDİRNE</v>
          </cell>
          <cell r="D1937" t="str">
            <v>İPSALA</v>
          </cell>
          <cell r="H1937" t="str">
            <v>Dağıtım-AG</v>
          </cell>
          <cell r="I1937" t="str">
            <v>Uzun</v>
          </cell>
          <cell r="J1937" t="str">
            <v>Şebeke işletmecisi</v>
          </cell>
          <cell r="K1937" t="str">
            <v>Bildirimsiz</v>
          </cell>
          <cell r="O1937">
            <v>0</v>
          </cell>
          <cell r="P1937">
            <v>0</v>
          </cell>
          <cell r="Q1937">
            <v>0</v>
          </cell>
          <cell r="R1937">
            <v>4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151.79999998770654</v>
          </cell>
          <cell r="Y1937">
            <v>0</v>
          </cell>
          <cell r="Z1937">
            <v>0</v>
          </cell>
        </row>
        <row r="1938">
          <cell r="C1938" t="str">
            <v>KIRKLARELİ</v>
          </cell>
          <cell r="D1938" t="str">
            <v>KIRKLARELİMERKEZ</v>
          </cell>
          <cell r="H1938" t="str">
            <v>Dağıtım-OG</v>
          </cell>
          <cell r="I1938" t="str">
            <v>Uzun</v>
          </cell>
          <cell r="J1938" t="str">
            <v>Şebeke işletmecisi</v>
          </cell>
          <cell r="K1938" t="str">
            <v>Bildirimsiz</v>
          </cell>
          <cell r="O1938">
            <v>2</v>
          </cell>
          <cell r="P1938">
            <v>0</v>
          </cell>
          <cell r="Q1938">
            <v>0</v>
          </cell>
          <cell r="R1938">
            <v>0</v>
          </cell>
          <cell r="S1938">
            <v>35</v>
          </cell>
          <cell r="T1938">
            <v>1035</v>
          </cell>
          <cell r="U1938">
            <v>75.86666667368263</v>
          </cell>
          <cell r="V1938">
            <v>0</v>
          </cell>
          <cell r="W1938">
            <v>0</v>
          </cell>
          <cell r="X1938">
            <v>0</v>
          </cell>
          <cell r="Y1938">
            <v>1327.666666789446</v>
          </cell>
          <cell r="Z1938">
            <v>39261.000003630761</v>
          </cell>
        </row>
        <row r="1939">
          <cell r="C1939" t="str">
            <v>TEKİRDAĞ</v>
          </cell>
          <cell r="D1939" t="str">
            <v>MALKARA</v>
          </cell>
          <cell r="H1939" t="str">
            <v>Dağıtım-AG</v>
          </cell>
          <cell r="I1939" t="str">
            <v>Uzun</v>
          </cell>
          <cell r="J1939" t="str">
            <v>Şebeke işletmecisi</v>
          </cell>
          <cell r="K1939" t="str">
            <v>Bildirimsiz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28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1061.6666666558012</v>
          </cell>
        </row>
        <row r="1940">
          <cell r="C1940" t="str">
            <v>KIRKLARELİ</v>
          </cell>
          <cell r="D1940" t="str">
            <v>LÜLEBURGAZ</v>
          </cell>
          <cell r="H1940" t="str">
            <v>Dağıtım-AG</v>
          </cell>
          <cell r="I1940" t="str">
            <v>Uzun</v>
          </cell>
          <cell r="J1940" t="str">
            <v>Şebeke işletmecisi</v>
          </cell>
          <cell r="K1940" t="str">
            <v>Bildirimsiz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42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1589.6999997692183</v>
          </cell>
        </row>
        <row r="1941">
          <cell r="C1941" t="str">
            <v>EDİRNE</v>
          </cell>
          <cell r="D1941" t="str">
            <v>UZUNKÖPRÜ</v>
          </cell>
          <cell r="H1941" t="str">
            <v>Dağıtım-AG</v>
          </cell>
          <cell r="I1941" t="str">
            <v>Uzun</v>
          </cell>
          <cell r="J1941" t="str">
            <v>Şebeke işletmecisi</v>
          </cell>
          <cell r="K1941" t="str">
            <v>Bildirimsiz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108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4086.0000001173466</v>
          </cell>
        </row>
        <row r="1942">
          <cell r="C1942" t="str">
            <v>TEKİRDAĞ</v>
          </cell>
          <cell r="D1942" t="str">
            <v>SÜLEYMANPAŞA</v>
          </cell>
          <cell r="H1942" t="str">
            <v>Dağıtım-AG</v>
          </cell>
          <cell r="I1942" t="str">
            <v>Uzun</v>
          </cell>
          <cell r="J1942" t="str">
            <v>Şebeke işletmecisi</v>
          </cell>
          <cell r="K1942" t="str">
            <v>Bildirimsiz</v>
          </cell>
          <cell r="O1942">
            <v>0</v>
          </cell>
          <cell r="P1942">
            <v>50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1890.0000001885928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</row>
        <row r="1943">
          <cell r="C1943" t="str">
            <v>TEKİRDAĞ</v>
          </cell>
          <cell r="D1943" t="str">
            <v>MARMARAEREĞLİSİ</v>
          </cell>
          <cell r="H1943" t="str">
            <v>Dağıtım-AG</v>
          </cell>
          <cell r="I1943" t="str">
            <v>Uzun</v>
          </cell>
          <cell r="J1943" t="str">
            <v>Şebeke işletmecisi</v>
          </cell>
          <cell r="K1943" t="str">
            <v>Bildirimsiz</v>
          </cell>
          <cell r="O1943">
            <v>0</v>
          </cell>
          <cell r="P1943">
            <v>74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2797.1999995037913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</row>
        <row r="1944">
          <cell r="C1944" t="str">
            <v>TEKİRDAĞ</v>
          </cell>
          <cell r="D1944" t="str">
            <v>ÇORLU</v>
          </cell>
          <cell r="H1944" t="str">
            <v>Dağıtım-AG</v>
          </cell>
          <cell r="I1944" t="str">
            <v>Uzun</v>
          </cell>
          <cell r="J1944" t="str">
            <v>Şebeke işletmecisi</v>
          </cell>
          <cell r="K1944" t="str">
            <v>Bildirimsiz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17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642.31666666455567</v>
          </cell>
        </row>
        <row r="1945">
          <cell r="C1945" t="str">
            <v>TEKİRDAĞ</v>
          </cell>
          <cell r="D1945" t="str">
            <v>SÜLEYMANPAŞA</v>
          </cell>
          <cell r="H1945" t="str">
            <v>Dağıtım-AG</v>
          </cell>
          <cell r="I1945" t="str">
            <v>Uzun</v>
          </cell>
          <cell r="J1945" t="str">
            <v>Şebeke işletmecisi</v>
          </cell>
          <cell r="K1945" t="str">
            <v>Bildirimsiz</v>
          </cell>
          <cell r="O1945">
            <v>0</v>
          </cell>
          <cell r="P1945">
            <v>83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3134.633332999656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</row>
        <row r="1946">
          <cell r="C1946" t="str">
            <v>TEKİRDAĞ</v>
          </cell>
          <cell r="D1946" t="str">
            <v>MARMARAEREĞLİSİ</v>
          </cell>
          <cell r="H1946" t="str">
            <v>Dağıtım-AG</v>
          </cell>
          <cell r="I1946" t="str">
            <v>Uzun</v>
          </cell>
          <cell r="J1946" t="str">
            <v>Şebeke işletmecisi</v>
          </cell>
          <cell r="K1946" t="str">
            <v>Bildirimsiz</v>
          </cell>
          <cell r="O1946">
            <v>0</v>
          </cell>
          <cell r="P1946">
            <v>9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338.85000000125729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</row>
        <row r="1947">
          <cell r="C1947" t="str">
            <v>KIRKLARELİ</v>
          </cell>
          <cell r="D1947" t="str">
            <v>DEMİRKÖY</v>
          </cell>
          <cell r="H1947" t="str">
            <v>Dağıtım-AG</v>
          </cell>
          <cell r="I1947" t="str">
            <v>Uzun</v>
          </cell>
          <cell r="J1947" t="str">
            <v>Şebeke işletmecisi</v>
          </cell>
          <cell r="K1947" t="str">
            <v>Bildirimsiz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2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75.266666659153998</v>
          </cell>
        </row>
        <row r="1948">
          <cell r="C1948" t="str">
            <v>EDİRNE</v>
          </cell>
          <cell r="D1948" t="str">
            <v>KEŞAN</v>
          </cell>
          <cell r="H1948" t="str">
            <v>Dağıtım-AG</v>
          </cell>
          <cell r="I1948" t="str">
            <v>Uzun</v>
          </cell>
          <cell r="J1948" t="str">
            <v>Şebeke işletmecisi</v>
          </cell>
          <cell r="K1948" t="str">
            <v>Bildirimsiz</v>
          </cell>
          <cell r="O1948">
            <v>0</v>
          </cell>
          <cell r="P1948">
            <v>0</v>
          </cell>
          <cell r="Q1948">
            <v>0</v>
          </cell>
          <cell r="R1948">
            <v>35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1316.5833334322087</v>
          </cell>
          <cell r="Y1948">
            <v>0</v>
          </cell>
          <cell r="Z1948">
            <v>0</v>
          </cell>
        </row>
        <row r="1949">
          <cell r="C1949" t="str">
            <v>KIRKLARELİ</v>
          </cell>
          <cell r="D1949" t="str">
            <v>KIRKLARELİMERKEZ</v>
          </cell>
          <cell r="H1949" t="str">
            <v>Dağıtım-OG</v>
          </cell>
          <cell r="I1949" t="str">
            <v>Uzun</v>
          </cell>
          <cell r="J1949" t="str">
            <v>Şebeke işletmecisi</v>
          </cell>
          <cell r="K1949" t="str">
            <v>Bildirimsiz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2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75.233333338983357</v>
          </cell>
        </row>
        <row r="1950">
          <cell r="C1950" t="str">
            <v>KIRKLARELİ</v>
          </cell>
          <cell r="D1950" t="str">
            <v>KIRKLARELİMERKEZ</v>
          </cell>
          <cell r="H1950" t="str">
            <v>Dağıtım-OG</v>
          </cell>
          <cell r="I1950" t="str">
            <v>Uzun</v>
          </cell>
          <cell r="J1950" t="str">
            <v>Şebeke işletmecisi</v>
          </cell>
          <cell r="K1950" t="str">
            <v>Bildirimli</v>
          </cell>
          <cell r="O1950">
            <v>0</v>
          </cell>
          <cell r="P1950">
            <v>586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22014.066667612642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</row>
        <row r="1951">
          <cell r="C1951" t="str">
            <v>KIRKLARELİ</v>
          </cell>
          <cell r="D1951" t="str">
            <v>PINARHİSAR</v>
          </cell>
          <cell r="H1951" t="str">
            <v>Dağıtım-AG</v>
          </cell>
          <cell r="I1951" t="str">
            <v>Uzun</v>
          </cell>
          <cell r="J1951" t="str">
            <v>Şebeke işletmecisi</v>
          </cell>
          <cell r="K1951" t="str">
            <v>Bildirimsiz</v>
          </cell>
          <cell r="O1951">
            <v>0</v>
          </cell>
          <cell r="P1951">
            <v>0</v>
          </cell>
          <cell r="Q1951">
            <v>0</v>
          </cell>
          <cell r="R1951">
            <v>40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1501.3333335053176</v>
          </cell>
          <cell r="Y1951">
            <v>0</v>
          </cell>
          <cell r="Z1951">
            <v>0</v>
          </cell>
        </row>
        <row r="1952">
          <cell r="C1952" t="str">
            <v>TEKİRDAĞ</v>
          </cell>
          <cell r="D1952" t="str">
            <v>SÜLEYMANPAŞA</v>
          </cell>
          <cell r="H1952" t="str">
            <v>Dağıtım-AG</v>
          </cell>
          <cell r="I1952" t="str">
            <v>Uzun</v>
          </cell>
          <cell r="J1952" t="str">
            <v>Şebeke işletmecisi</v>
          </cell>
          <cell r="K1952" t="str">
            <v>Bildirimsiz</v>
          </cell>
          <cell r="O1952">
            <v>0</v>
          </cell>
          <cell r="P1952">
            <v>57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2139.4000002450775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</row>
        <row r="1953">
          <cell r="C1953" t="str">
            <v>TEKİRDAĞ</v>
          </cell>
          <cell r="D1953" t="str">
            <v>MURATLI</v>
          </cell>
          <cell r="H1953" t="str">
            <v>Dağıtım-AG</v>
          </cell>
          <cell r="I1953" t="str">
            <v>Uzun</v>
          </cell>
          <cell r="J1953" t="str">
            <v>Şebeke işletmecisi</v>
          </cell>
          <cell r="K1953" t="str">
            <v>Bildirimsiz</v>
          </cell>
          <cell r="O1953">
            <v>0</v>
          </cell>
          <cell r="P1953">
            <v>6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225.19999996293336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</row>
        <row r="1954">
          <cell r="C1954" t="str">
            <v>KIRKLARELİ</v>
          </cell>
          <cell r="D1954" t="str">
            <v>KIRKLARELİMERKEZ</v>
          </cell>
          <cell r="H1954" t="str">
            <v>Dağıtım-OG</v>
          </cell>
          <cell r="I1954" t="str">
            <v>Uzun</v>
          </cell>
          <cell r="J1954" t="str">
            <v>Şebeke işletmecisi</v>
          </cell>
          <cell r="K1954" t="str">
            <v>Bildirimsiz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2</v>
          </cell>
          <cell r="T1954">
            <v>129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75.000000013969839</v>
          </cell>
          <cell r="Z1954">
            <v>4837.5000009010546</v>
          </cell>
        </row>
        <row r="1955">
          <cell r="C1955" t="str">
            <v>TEKİRDAĞ</v>
          </cell>
          <cell r="D1955" t="str">
            <v>MARMARAEREĞLİSİ</v>
          </cell>
          <cell r="H1955" t="str">
            <v>Dağıtım-AG</v>
          </cell>
          <cell r="I1955" t="str">
            <v>Uzun</v>
          </cell>
          <cell r="J1955" t="str">
            <v>Şebeke işletmecisi</v>
          </cell>
          <cell r="K1955" t="str">
            <v>Bildirimsiz</v>
          </cell>
          <cell r="O1955">
            <v>0</v>
          </cell>
          <cell r="P1955">
            <v>22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824.63333340128884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</row>
        <row r="1956">
          <cell r="C1956" t="str">
            <v>KIRKLARELİ</v>
          </cell>
          <cell r="D1956" t="str">
            <v>KOFÇAZ</v>
          </cell>
          <cell r="H1956" t="str">
            <v>Dağıtım-OG</v>
          </cell>
          <cell r="I1956" t="str">
            <v>Uzun</v>
          </cell>
          <cell r="J1956" t="str">
            <v>Şebeke işletmecisi</v>
          </cell>
          <cell r="K1956" t="str">
            <v>Bildirimsiz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7</v>
          </cell>
          <cell r="T1956">
            <v>59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262.38333328161389</v>
          </cell>
          <cell r="Z1956">
            <v>2211.5166662307456</v>
          </cell>
        </row>
        <row r="1957">
          <cell r="C1957" t="str">
            <v>EDİRNE</v>
          </cell>
          <cell r="D1957" t="str">
            <v>KEŞAN</v>
          </cell>
          <cell r="H1957" t="str">
            <v>Dağıtım-AG</v>
          </cell>
          <cell r="I1957" t="str">
            <v>Uzun</v>
          </cell>
          <cell r="J1957" t="str">
            <v>Şebeke işletmecisi</v>
          </cell>
          <cell r="K1957" t="str">
            <v>Bildirimsiz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8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299.86666660755873</v>
          </cell>
        </row>
        <row r="1958">
          <cell r="C1958" t="str">
            <v>TEKİRDAĞ</v>
          </cell>
          <cell r="D1958" t="str">
            <v>ERGENE</v>
          </cell>
          <cell r="H1958" t="str">
            <v>Dağıtım-OG</v>
          </cell>
          <cell r="I1958" t="str">
            <v>Uzun</v>
          </cell>
          <cell r="J1958" t="str">
            <v>Şebeke İşletmecisi</v>
          </cell>
          <cell r="K1958" t="str">
            <v>Bildirimsiz</v>
          </cell>
          <cell r="O1958">
            <v>1</v>
          </cell>
          <cell r="P1958">
            <v>0</v>
          </cell>
          <cell r="Q1958">
            <v>0</v>
          </cell>
          <cell r="R1958">
            <v>0</v>
          </cell>
          <cell r="S1958">
            <v>3</v>
          </cell>
          <cell r="T1958">
            <v>0</v>
          </cell>
          <cell r="U1958">
            <v>37.383333334000781</v>
          </cell>
          <cell r="V1958">
            <v>0</v>
          </cell>
          <cell r="W1958">
            <v>0</v>
          </cell>
          <cell r="X1958">
            <v>0</v>
          </cell>
          <cell r="Y1958">
            <v>112.15000000200234</v>
          </cell>
          <cell r="Z1958">
            <v>0</v>
          </cell>
        </row>
        <row r="1959">
          <cell r="C1959" t="str">
            <v>EDİRNE</v>
          </cell>
          <cell r="D1959" t="str">
            <v>KEŞAN</v>
          </cell>
          <cell r="H1959" t="str">
            <v>Dağıtım-AG</v>
          </cell>
          <cell r="I1959" t="str">
            <v>Uzun</v>
          </cell>
          <cell r="J1959" t="str">
            <v>Şebeke işletmecisi</v>
          </cell>
          <cell r="K1959" t="str">
            <v>Bildirimsiz</v>
          </cell>
          <cell r="O1959">
            <v>0</v>
          </cell>
          <cell r="P1959">
            <v>15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560.50000010873191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</row>
        <row r="1960">
          <cell r="C1960" t="str">
            <v>TEKİRDAĞ</v>
          </cell>
          <cell r="D1960" t="str">
            <v>MURATLI</v>
          </cell>
          <cell r="H1960" t="str">
            <v>Dağıtım-AG</v>
          </cell>
          <cell r="I1960" t="str">
            <v>Uzun</v>
          </cell>
          <cell r="J1960" t="str">
            <v>Şebeke işletmecisi</v>
          </cell>
          <cell r="K1960" t="str">
            <v>Bildirimsiz</v>
          </cell>
          <cell r="O1960">
            <v>0</v>
          </cell>
          <cell r="P1960">
            <v>5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186.58333336352371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</row>
        <row r="1961">
          <cell r="C1961" t="str">
            <v>TEKİRDAĞ</v>
          </cell>
          <cell r="D1961" t="str">
            <v>SÜLEYMANPAŞA</v>
          </cell>
          <cell r="H1961" t="str">
            <v>Dağıtım-AG</v>
          </cell>
          <cell r="I1961" t="str">
            <v>Uzun</v>
          </cell>
          <cell r="J1961" t="str">
            <v>Şebeke işletmecisi</v>
          </cell>
          <cell r="K1961" t="str">
            <v>Bildirimsiz</v>
          </cell>
          <cell r="O1961">
            <v>0</v>
          </cell>
          <cell r="P1961">
            <v>15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558.75000001396984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</row>
        <row r="1962">
          <cell r="C1962" t="str">
            <v>KIRKLARELİ</v>
          </cell>
          <cell r="D1962" t="str">
            <v>KIRKLARELİMERKEZ</v>
          </cell>
          <cell r="H1962" t="str">
            <v>Dağıtım-OG</v>
          </cell>
          <cell r="I1962" t="str">
            <v>Uzun</v>
          </cell>
          <cell r="J1962" t="str">
            <v>Şebeke işletmecisi</v>
          </cell>
          <cell r="K1962" t="str">
            <v>Bildirimsiz</v>
          </cell>
          <cell r="O1962">
            <v>0</v>
          </cell>
          <cell r="P1962">
            <v>66</v>
          </cell>
          <cell r="Q1962">
            <v>0</v>
          </cell>
          <cell r="R1962">
            <v>0</v>
          </cell>
          <cell r="S1962">
            <v>0</v>
          </cell>
          <cell r="T1962">
            <v>45</v>
          </cell>
          <cell r="U1962">
            <v>0</v>
          </cell>
          <cell r="V1962">
            <v>2455.1999999815598</v>
          </cell>
          <cell r="W1962">
            <v>0</v>
          </cell>
          <cell r="X1962">
            <v>0</v>
          </cell>
          <cell r="Y1962">
            <v>0</v>
          </cell>
          <cell r="Z1962">
            <v>1673.9999999874271</v>
          </cell>
        </row>
        <row r="1963">
          <cell r="C1963" t="str">
            <v>EDİRNE</v>
          </cell>
          <cell r="D1963" t="str">
            <v>İPSALA</v>
          </cell>
          <cell r="H1963" t="str">
            <v>Dağıtım-OG</v>
          </cell>
          <cell r="I1963" t="str">
            <v>Uzun</v>
          </cell>
          <cell r="J1963" t="str">
            <v>Şebeke işletmecisi</v>
          </cell>
          <cell r="K1963" t="str">
            <v>Bildirimsiz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26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966.76666683051735</v>
          </cell>
          <cell r="Z1963">
            <v>0</v>
          </cell>
        </row>
        <row r="1964">
          <cell r="C1964" t="str">
            <v>TEKİRDAĞ</v>
          </cell>
          <cell r="D1964" t="str">
            <v>MARMARAEREĞLİSİ</v>
          </cell>
          <cell r="H1964" t="str">
            <v>Dağıtım-AG</v>
          </cell>
          <cell r="I1964" t="str">
            <v>Uzun</v>
          </cell>
          <cell r="J1964" t="str">
            <v>Şebeke işletmecisi</v>
          </cell>
          <cell r="K1964" t="str">
            <v>Bildirimsiz</v>
          </cell>
          <cell r="O1964">
            <v>0</v>
          </cell>
          <cell r="P1964">
            <v>0</v>
          </cell>
          <cell r="Q1964">
            <v>0</v>
          </cell>
          <cell r="R1964">
            <v>8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297.2000000718981</v>
          </cell>
          <cell r="Y1964">
            <v>0</v>
          </cell>
          <cell r="Z1964">
            <v>0</v>
          </cell>
        </row>
        <row r="1965">
          <cell r="C1965" t="str">
            <v>EDİRNE</v>
          </cell>
          <cell r="D1965" t="str">
            <v>KEŞAN</v>
          </cell>
          <cell r="H1965" t="str">
            <v>Dağıtım-AG</v>
          </cell>
          <cell r="I1965" t="str">
            <v>Uzun</v>
          </cell>
          <cell r="J1965" t="str">
            <v>Şebeke işletmecisi</v>
          </cell>
          <cell r="K1965" t="str">
            <v>Bildirimsiz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2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74.266666676849127</v>
          </cell>
        </row>
        <row r="1966">
          <cell r="C1966" t="str">
            <v>TEKİRDAĞ</v>
          </cell>
          <cell r="D1966" t="str">
            <v>MALKARA</v>
          </cell>
          <cell r="H1966" t="str">
            <v>Dağıtım-OG</v>
          </cell>
          <cell r="I1966" t="str">
            <v>Uzun</v>
          </cell>
          <cell r="J1966" t="str">
            <v>Şebeke işletmecisi</v>
          </cell>
          <cell r="K1966" t="str">
            <v>Bildirimsiz</v>
          </cell>
          <cell r="O1966">
            <v>1</v>
          </cell>
          <cell r="P1966">
            <v>90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37.133333338424563</v>
          </cell>
          <cell r="V1966">
            <v>3342.0000004582107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</row>
        <row r="1967">
          <cell r="C1967" t="str">
            <v>KIRKLARELİ</v>
          </cell>
          <cell r="D1967" t="str">
            <v>KIRKLARELİMERKEZ</v>
          </cell>
          <cell r="H1967" t="str">
            <v>Dağıtım-OG</v>
          </cell>
          <cell r="I1967" t="str">
            <v>Uzun</v>
          </cell>
          <cell r="J1967" t="str">
            <v>Şebeke işletmecisi</v>
          </cell>
          <cell r="K1967" t="str">
            <v>Bildirimsiz</v>
          </cell>
          <cell r="O1967">
            <v>0</v>
          </cell>
          <cell r="P1967">
            <v>0</v>
          </cell>
          <cell r="Q1967">
            <v>0</v>
          </cell>
          <cell r="R1967">
            <v>1</v>
          </cell>
          <cell r="S1967">
            <v>15</v>
          </cell>
          <cell r="T1967">
            <v>1152</v>
          </cell>
          <cell r="U1967">
            <v>0</v>
          </cell>
          <cell r="V1967">
            <v>0</v>
          </cell>
          <cell r="W1967">
            <v>0</v>
          </cell>
          <cell r="X1967">
            <v>37.133333327947184</v>
          </cell>
          <cell r="Y1967">
            <v>556.99999991920777</v>
          </cell>
          <cell r="Z1967">
            <v>42777.599993795156</v>
          </cell>
        </row>
        <row r="1968">
          <cell r="C1968" t="str">
            <v>EDİRNE</v>
          </cell>
          <cell r="D1968" t="str">
            <v>EDİRNEMERKEZ</v>
          </cell>
          <cell r="H1968" t="str">
            <v>Dağıtım-AG</v>
          </cell>
          <cell r="I1968" t="str">
            <v>Uzun</v>
          </cell>
          <cell r="J1968" t="str">
            <v>Şebeke İşletmecisi</v>
          </cell>
          <cell r="K1968" t="str">
            <v>Bildirimsiz</v>
          </cell>
          <cell r="O1968">
            <v>0</v>
          </cell>
          <cell r="P1968">
            <v>127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4711.700000987621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</row>
        <row r="1969">
          <cell r="C1969" t="str">
            <v>KIRKLARELİ</v>
          </cell>
          <cell r="D1969" t="str">
            <v>PINARHİSAR</v>
          </cell>
          <cell r="H1969" t="str">
            <v>Dağıtım-OG</v>
          </cell>
          <cell r="I1969" t="str">
            <v>Uzun</v>
          </cell>
          <cell r="J1969" t="str">
            <v>Şebeke işletmecisi</v>
          </cell>
          <cell r="K1969" t="str">
            <v>Bildirimsiz</v>
          </cell>
          <cell r="O1969">
            <v>0</v>
          </cell>
          <cell r="P1969">
            <v>0</v>
          </cell>
          <cell r="Q1969">
            <v>1</v>
          </cell>
          <cell r="R1969">
            <v>0</v>
          </cell>
          <cell r="S1969">
            <v>5</v>
          </cell>
          <cell r="T1969">
            <v>529</v>
          </cell>
          <cell r="U1969">
            <v>0</v>
          </cell>
          <cell r="V1969">
            <v>0</v>
          </cell>
          <cell r="W1969">
            <v>37.083333337213844</v>
          </cell>
          <cell r="X1969">
            <v>0</v>
          </cell>
          <cell r="Y1969">
            <v>185.41666668606922</v>
          </cell>
          <cell r="Z1969">
            <v>19617.083335386124</v>
          </cell>
        </row>
        <row r="1970">
          <cell r="C1970" t="str">
            <v>TEKİRDAĞ</v>
          </cell>
          <cell r="D1970" t="str">
            <v>MALKARA</v>
          </cell>
          <cell r="H1970" t="str">
            <v>Dağıtım-OG</v>
          </cell>
          <cell r="I1970" t="str">
            <v>Uzun</v>
          </cell>
          <cell r="J1970" t="str">
            <v>Şebeke işletmecisi</v>
          </cell>
          <cell r="K1970" t="str">
            <v>Bildirimsiz</v>
          </cell>
          <cell r="O1970">
            <v>1</v>
          </cell>
          <cell r="P1970">
            <v>103</v>
          </cell>
          <cell r="Q1970">
            <v>2</v>
          </cell>
          <cell r="R1970">
            <v>0</v>
          </cell>
          <cell r="S1970">
            <v>0</v>
          </cell>
          <cell r="T1970">
            <v>0</v>
          </cell>
          <cell r="U1970">
            <v>37.083333337213844</v>
          </cell>
          <cell r="V1970">
            <v>3819.5833337330259</v>
          </cell>
          <cell r="W1970">
            <v>74.166666674427688</v>
          </cell>
          <cell r="X1970">
            <v>0</v>
          </cell>
          <cell r="Y1970">
            <v>0</v>
          </cell>
          <cell r="Z1970">
            <v>0</v>
          </cell>
        </row>
        <row r="1971">
          <cell r="C1971" t="str">
            <v>KIRKLARELİ</v>
          </cell>
          <cell r="D1971" t="str">
            <v>LÜLEBURGAZ</v>
          </cell>
          <cell r="H1971" t="str">
            <v>Dağıtım-AG</v>
          </cell>
          <cell r="I1971" t="str">
            <v>Uzun</v>
          </cell>
          <cell r="J1971" t="str">
            <v>Şebeke işletmecisi</v>
          </cell>
          <cell r="K1971" t="str">
            <v>Bildirimsiz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13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481.86666666646488</v>
          </cell>
        </row>
        <row r="1972">
          <cell r="C1972" t="str">
            <v>KIRKLARELİ</v>
          </cell>
          <cell r="D1972" t="str">
            <v>DEMİRKÖY</v>
          </cell>
          <cell r="H1972" t="str">
            <v>Dağıtım-AG</v>
          </cell>
          <cell r="I1972" t="str">
            <v>Uzun</v>
          </cell>
          <cell r="J1972" t="str">
            <v>Şebeke işletmecisi</v>
          </cell>
          <cell r="K1972" t="str">
            <v>Bildirimsiz</v>
          </cell>
          <cell r="O1972">
            <v>0</v>
          </cell>
          <cell r="P1972">
            <v>0</v>
          </cell>
          <cell r="Q1972">
            <v>0</v>
          </cell>
          <cell r="R1972">
            <v>189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7005.5999999970663</v>
          </cell>
          <cell r="Y1972">
            <v>0</v>
          </cell>
          <cell r="Z1972">
            <v>0</v>
          </cell>
        </row>
        <row r="1973">
          <cell r="C1973" t="str">
            <v>TEKİRDAĞ</v>
          </cell>
          <cell r="D1973" t="str">
            <v>ÇORLU</v>
          </cell>
          <cell r="H1973" t="str">
            <v>Dağıtım-AG</v>
          </cell>
          <cell r="I1973" t="str">
            <v>Uzun</v>
          </cell>
          <cell r="J1973" t="str">
            <v>Şebeke işletmecisi</v>
          </cell>
          <cell r="K1973" t="str">
            <v>Bildirimsiz</v>
          </cell>
          <cell r="O1973">
            <v>0</v>
          </cell>
          <cell r="P1973">
            <v>57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2111.850000374252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</row>
        <row r="1974">
          <cell r="C1974" t="str">
            <v>KIRKLARELİ</v>
          </cell>
          <cell r="D1974" t="str">
            <v>PINARHİSAR</v>
          </cell>
          <cell r="H1974" t="str">
            <v>Dağıtım-AG</v>
          </cell>
          <cell r="I1974" t="str">
            <v>Uzun</v>
          </cell>
          <cell r="J1974" t="str">
            <v>Şebeke işletmecisi</v>
          </cell>
          <cell r="K1974" t="str">
            <v>Bildirimsiz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104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3848.0000005569309</v>
          </cell>
        </row>
        <row r="1975">
          <cell r="C1975" t="str">
            <v>TEKİRDAĞ</v>
          </cell>
          <cell r="D1975" t="str">
            <v>SÜLEYMANPAŞA</v>
          </cell>
          <cell r="H1975" t="str">
            <v>Dağıtım-AG</v>
          </cell>
          <cell r="I1975" t="str">
            <v>Uzun</v>
          </cell>
          <cell r="J1975" t="str">
            <v>Şebeke işletmecisi</v>
          </cell>
          <cell r="K1975" t="str">
            <v>Bildirimsiz</v>
          </cell>
          <cell r="O1975">
            <v>0</v>
          </cell>
          <cell r="P1975">
            <v>1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36.950000004144385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</row>
        <row r="1976">
          <cell r="C1976" t="str">
            <v>TEKİRDAĞ</v>
          </cell>
          <cell r="D1976" t="str">
            <v>KAPAKLI</v>
          </cell>
          <cell r="H1976" t="str">
            <v>Dağıtım-AG</v>
          </cell>
          <cell r="I1976" t="str">
            <v>Uzun</v>
          </cell>
          <cell r="J1976" t="str">
            <v>Şebeke işletmecisi</v>
          </cell>
          <cell r="K1976" t="str">
            <v>Bildirimsiz</v>
          </cell>
          <cell r="O1976">
            <v>0</v>
          </cell>
          <cell r="P1976">
            <v>166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6128.1666660611518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</row>
        <row r="1977">
          <cell r="C1977" t="str">
            <v>TEKİRDAĞ</v>
          </cell>
          <cell r="D1977" t="str">
            <v>MARMARAEREĞLİSİ</v>
          </cell>
          <cell r="H1977" t="str">
            <v>Dağıtım-OG</v>
          </cell>
          <cell r="I1977" t="str">
            <v>Uzun</v>
          </cell>
          <cell r="J1977" t="str">
            <v>Şebeke işletmecisi</v>
          </cell>
          <cell r="K1977" t="str">
            <v>Bildirimsiz</v>
          </cell>
          <cell r="O1977">
            <v>0</v>
          </cell>
          <cell r="P1977">
            <v>170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6264.4999985117465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</row>
        <row r="1978">
          <cell r="C1978" t="str">
            <v>EDİRNE</v>
          </cell>
          <cell r="D1978" t="str">
            <v>EDİRNEMERKEZ</v>
          </cell>
          <cell r="H1978" t="str">
            <v>Dağıtım-OG</v>
          </cell>
          <cell r="I1978" t="str">
            <v>Uzun</v>
          </cell>
          <cell r="J1978" t="str">
            <v>Şebeke işletmecisi</v>
          </cell>
          <cell r="K1978" t="str">
            <v>Bildirimsiz</v>
          </cell>
          <cell r="O1978">
            <v>1</v>
          </cell>
          <cell r="P1978">
            <v>1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36.833333331160247</v>
          </cell>
          <cell r="V1978">
            <v>36.833333331160247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</row>
        <row r="1979">
          <cell r="C1979" t="str">
            <v>KIRKLARELİ</v>
          </cell>
          <cell r="D1979" t="str">
            <v>KIRKLARELİMERKEZ</v>
          </cell>
          <cell r="H1979" t="str">
            <v>Dağıtım-AG</v>
          </cell>
          <cell r="I1979" t="str">
            <v>Uzun</v>
          </cell>
          <cell r="J1979" t="str">
            <v>Şebeke işletmecisi</v>
          </cell>
          <cell r="K1979" t="str">
            <v>Bildirimsiz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1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36.800000000512227</v>
          </cell>
        </row>
        <row r="1980">
          <cell r="C1980" t="str">
            <v>EDİRNE</v>
          </cell>
          <cell r="D1980" t="str">
            <v>KEŞAN</v>
          </cell>
          <cell r="H1980" t="str">
            <v>Dağıtım-AG</v>
          </cell>
          <cell r="I1980" t="str">
            <v>Uzun</v>
          </cell>
          <cell r="J1980" t="str">
            <v>Şebeke işletmecisi</v>
          </cell>
          <cell r="K1980" t="str">
            <v>Bildirimsiz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15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550.74999987264164</v>
          </cell>
        </row>
        <row r="1981">
          <cell r="C1981" t="str">
            <v>KIRKLARELİ</v>
          </cell>
          <cell r="D1981" t="str">
            <v>KIRKLARELİMERKEZ</v>
          </cell>
          <cell r="H1981" t="str">
            <v>Dağıtım-OG</v>
          </cell>
          <cell r="I1981" t="str">
            <v>Uzun</v>
          </cell>
          <cell r="J1981" t="str">
            <v>Şebeke işletmecisi</v>
          </cell>
          <cell r="K1981" t="str">
            <v>Bildirimsiz</v>
          </cell>
          <cell r="O1981">
            <v>0</v>
          </cell>
          <cell r="P1981">
            <v>38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1394.59999992745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</row>
        <row r="1982">
          <cell r="C1982" t="str">
            <v>TEKİRDAĞ</v>
          </cell>
          <cell r="D1982" t="str">
            <v>MARMARAEREĞLİSİ</v>
          </cell>
          <cell r="H1982" t="str">
            <v>Dağıtım-AG</v>
          </cell>
          <cell r="I1982" t="str">
            <v>Uzun</v>
          </cell>
          <cell r="J1982" t="str">
            <v>Şebeke işletmecisi</v>
          </cell>
          <cell r="K1982" t="str">
            <v>Bildirimsiz</v>
          </cell>
          <cell r="O1982">
            <v>0</v>
          </cell>
          <cell r="P1982">
            <v>8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293.19999997504056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</row>
        <row r="1983">
          <cell r="C1983" t="str">
            <v>TEKİRDAĞ</v>
          </cell>
          <cell r="D1983" t="str">
            <v>MALKARA</v>
          </cell>
          <cell r="H1983" t="str">
            <v>Dağıtım-OG</v>
          </cell>
          <cell r="I1983" t="str">
            <v>Uzun</v>
          </cell>
          <cell r="J1983" t="str">
            <v>Şebeke işletmecisi</v>
          </cell>
          <cell r="K1983" t="str">
            <v>Bildirimsiz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36.633333336794749</v>
          </cell>
          <cell r="Z1983">
            <v>0</v>
          </cell>
        </row>
        <row r="1984">
          <cell r="C1984" t="str">
            <v>EDİRNE</v>
          </cell>
          <cell r="D1984" t="str">
            <v>EDİRNEMERKEZ</v>
          </cell>
          <cell r="H1984" t="str">
            <v>Dağıtım-AG</v>
          </cell>
          <cell r="I1984" t="str">
            <v>Uzun</v>
          </cell>
          <cell r="J1984" t="str">
            <v>Şebeke işletmecisi</v>
          </cell>
          <cell r="K1984" t="str">
            <v>Bildirimsiz</v>
          </cell>
          <cell r="O1984">
            <v>0</v>
          </cell>
          <cell r="P1984">
            <v>27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987.29999995557591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</row>
        <row r="1985">
          <cell r="C1985" t="str">
            <v>EDİRNE</v>
          </cell>
          <cell r="D1985" t="str">
            <v>KEŞAN</v>
          </cell>
          <cell r="H1985" t="str">
            <v>Dağıtım-AG</v>
          </cell>
          <cell r="I1985" t="str">
            <v>Uzun</v>
          </cell>
          <cell r="J1985" t="str">
            <v>Şebeke işletmecisi</v>
          </cell>
          <cell r="K1985" t="str">
            <v>Bildirimsiz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22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804.09999987808987</v>
          </cell>
        </row>
        <row r="1986">
          <cell r="C1986" t="str">
            <v>EDİRNE</v>
          </cell>
          <cell r="D1986" t="str">
            <v>İPSALA</v>
          </cell>
          <cell r="H1986" t="str">
            <v>Dağıtım-AG</v>
          </cell>
          <cell r="I1986" t="str">
            <v>Uzun</v>
          </cell>
          <cell r="J1986" t="str">
            <v>Şebeke işletmecisi</v>
          </cell>
          <cell r="K1986" t="str">
            <v>Bildirimsiz</v>
          </cell>
          <cell r="O1986">
            <v>0</v>
          </cell>
          <cell r="P1986">
            <v>0</v>
          </cell>
          <cell r="Q1986">
            <v>0</v>
          </cell>
          <cell r="R1986">
            <v>10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365.3333333437331</v>
          </cell>
          <cell r="Y1986">
            <v>0</v>
          </cell>
          <cell r="Z1986">
            <v>0</v>
          </cell>
        </row>
        <row r="1987">
          <cell r="C1987" t="str">
            <v>TEKİRDAĞ</v>
          </cell>
          <cell r="D1987" t="str">
            <v>ÇERKEZKÖY</v>
          </cell>
          <cell r="H1987" t="str">
            <v>Dağıtım-AG</v>
          </cell>
          <cell r="I1987" t="str">
            <v>Uzun</v>
          </cell>
          <cell r="J1987" t="str">
            <v>Dışsal</v>
          </cell>
          <cell r="K1987" t="str">
            <v>Bildirimsiz</v>
          </cell>
          <cell r="O1987">
            <v>0</v>
          </cell>
          <cell r="P1987">
            <v>36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1314.599999897182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</row>
        <row r="1988">
          <cell r="C1988" t="str">
            <v>KIRKLARELİ</v>
          </cell>
          <cell r="D1988" t="str">
            <v>LÜLEBURGAZ</v>
          </cell>
          <cell r="H1988" t="str">
            <v>Dağıtım-AG</v>
          </cell>
          <cell r="I1988" t="str">
            <v>Uzun</v>
          </cell>
          <cell r="J1988" t="str">
            <v>Şebeke işletmecisi</v>
          </cell>
          <cell r="K1988" t="str">
            <v>Bildirimsiz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25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912.49999983119778</v>
          </cell>
        </row>
        <row r="1989">
          <cell r="C1989" t="str">
            <v>EDİRNE</v>
          </cell>
          <cell r="D1989" t="str">
            <v>LALAPAŞA</v>
          </cell>
          <cell r="H1989" t="str">
            <v>Dağıtım-OG</v>
          </cell>
          <cell r="I1989" t="str">
            <v>Uzun</v>
          </cell>
          <cell r="J1989" t="str">
            <v>Şebeke işletmecisi</v>
          </cell>
          <cell r="K1989" t="str">
            <v>Bildirimsiz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6</v>
          </cell>
          <cell r="T1989">
            <v>416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218.59999999171123</v>
          </cell>
          <cell r="Z1989">
            <v>15156.266666091979</v>
          </cell>
        </row>
        <row r="1990">
          <cell r="C1990" t="str">
            <v>KIRKLARELİ</v>
          </cell>
          <cell r="D1990" t="str">
            <v>KIRKLARELİMERKEZ</v>
          </cell>
          <cell r="H1990" t="str">
            <v>Dağıtım-OG</v>
          </cell>
          <cell r="I1990" t="str">
            <v>Uzun</v>
          </cell>
          <cell r="J1990" t="str">
            <v>Şebeke işletmecisi</v>
          </cell>
          <cell r="K1990" t="str">
            <v>Bildirimsiz</v>
          </cell>
          <cell r="O1990">
            <v>0</v>
          </cell>
          <cell r="P1990">
            <v>590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21485.833336401265</v>
          </cell>
          <cell r="W1990">
            <v>0</v>
          </cell>
          <cell r="X1990">
            <v>0</v>
          </cell>
          <cell r="Y1990">
            <v>0</v>
          </cell>
          <cell r="Z1990">
            <v>0</v>
          </cell>
        </row>
        <row r="1991">
          <cell r="C1991" t="str">
            <v>TEKİRDAĞ</v>
          </cell>
          <cell r="D1991" t="str">
            <v>MURATLI</v>
          </cell>
          <cell r="H1991" t="str">
            <v>Dağıtım-AG</v>
          </cell>
          <cell r="I1991" t="str">
            <v>Uzun</v>
          </cell>
          <cell r="J1991" t="str">
            <v>Şebeke işletmecisi</v>
          </cell>
          <cell r="K1991" t="str">
            <v>Bildirimsiz</v>
          </cell>
          <cell r="O1991">
            <v>0</v>
          </cell>
          <cell r="P1991">
            <v>0</v>
          </cell>
          <cell r="Q1991">
            <v>0</v>
          </cell>
          <cell r="R1991">
            <v>7</v>
          </cell>
          <cell r="S1991">
            <v>0</v>
          </cell>
          <cell r="T1991">
            <v>2</v>
          </cell>
          <cell r="U1991">
            <v>0</v>
          </cell>
          <cell r="V1991">
            <v>0</v>
          </cell>
          <cell r="W1991">
            <v>0</v>
          </cell>
          <cell r="X1991">
            <v>254.79999993578531</v>
          </cell>
          <cell r="Y1991">
            <v>0</v>
          </cell>
          <cell r="Z1991">
            <v>72.799999981652945</v>
          </cell>
        </row>
        <row r="1992">
          <cell r="C1992" t="str">
            <v>KIRKLARELİ</v>
          </cell>
          <cell r="D1992" t="str">
            <v>PINARHİSAR</v>
          </cell>
          <cell r="H1992" t="str">
            <v>Dağıtım-AG</v>
          </cell>
          <cell r="I1992" t="str">
            <v>Uzun</v>
          </cell>
          <cell r="J1992" t="str">
            <v>Şebeke işletmecisi</v>
          </cell>
          <cell r="K1992" t="str">
            <v>Bildirimsiz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58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2108.3000000054017</v>
          </cell>
        </row>
        <row r="1993">
          <cell r="C1993" t="str">
            <v>TEKİRDAĞ</v>
          </cell>
          <cell r="D1993" t="str">
            <v>ÇERKEZKÖY</v>
          </cell>
          <cell r="H1993" t="str">
            <v>Dağıtım-OG</v>
          </cell>
          <cell r="I1993" t="str">
            <v>Uzun</v>
          </cell>
          <cell r="J1993" t="str">
            <v>Şebeke işletmecisi</v>
          </cell>
          <cell r="K1993" t="str">
            <v>Bildirimsiz</v>
          </cell>
          <cell r="O1993">
            <v>0</v>
          </cell>
          <cell r="P1993">
            <v>2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72.633333338890225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</row>
        <row r="1994">
          <cell r="C1994" t="str">
            <v>KIRKLARELİ</v>
          </cell>
          <cell r="D1994" t="str">
            <v>KIRKLARELİMERKEZ</v>
          </cell>
          <cell r="H1994" t="str">
            <v>Dağıtım-AG</v>
          </cell>
          <cell r="I1994" t="str">
            <v>Uzun</v>
          </cell>
          <cell r="J1994" t="str">
            <v>Şebeke işletmecisi</v>
          </cell>
          <cell r="K1994" t="str">
            <v>Bildirimsiz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1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36.183333336375654</v>
          </cell>
        </row>
        <row r="1995">
          <cell r="C1995" t="str">
            <v>EDİRNE</v>
          </cell>
          <cell r="D1995" t="str">
            <v>EDİRNEMERKEZ</v>
          </cell>
          <cell r="H1995" t="str">
            <v>Dağıtım-AG</v>
          </cell>
          <cell r="I1995" t="str">
            <v>Uzun</v>
          </cell>
          <cell r="J1995" t="str">
            <v>Şebeke işletmecisi</v>
          </cell>
          <cell r="K1995" t="str">
            <v>Bildirimsiz</v>
          </cell>
          <cell r="O1995">
            <v>0</v>
          </cell>
          <cell r="P1995">
            <v>56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2025.3333332855254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</row>
        <row r="1996">
          <cell r="C1996" t="str">
            <v>KIRKLARELİ</v>
          </cell>
          <cell r="D1996" t="str">
            <v>PINARHİSAR</v>
          </cell>
          <cell r="H1996" t="str">
            <v>Dağıtım-AG</v>
          </cell>
          <cell r="I1996" t="str">
            <v>Uzun</v>
          </cell>
          <cell r="J1996" t="str">
            <v>Şebeke işletmecisi</v>
          </cell>
          <cell r="K1996" t="str">
            <v>Bildirimsiz</v>
          </cell>
          <cell r="O1996">
            <v>0</v>
          </cell>
          <cell r="P1996">
            <v>0</v>
          </cell>
          <cell r="Q1996">
            <v>0</v>
          </cell>
          <cell r="R1996">
            <v>62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2240.2666667802259</v>
          </cell>
          <cell r="Y1996">
            <v>0</v>
          </cell>
          <cell r="Z1996">
            <v>0</v>
          </cell>
        </row>
        <row r="1997">
          <cell r="C1997" t="str">
            <v>EDİRNE</v>
          </cell>
          <cell r="D1997" t="str">
            <v>EDİRNEMERKEZ</v>
          </cell>
          <cell r="H1997" t="str">
            <v>Dağıtım-OG</v>
          </cell>
          <cell r="I1997" t="str">
            <v>Uzun</v>
          </cell>
          <cell r="J1997" t="str">
            <v>Şebeke işletmecisi</v>
          </cell>
          <cell r="K1997" t="str">
            <v>Bildirimsiz</v>
          </cell>
          <cell r="O1997">
            <v>0</v>
          </cell>
          <cell r="P1997">
            <v>1697</v>
          </cell>
          <cell r="Q1997">
            <v>0</v>
          </cell>
          <cell r="R1997">
            <v>0</v>
          </cell>
          <cell r="S1997">
            <v>0</v>
          </cell>
          <cell r="T1997">
            <v>1</v>
          </cell>
          <cell r="U1997">
            <v>0</v>
          </cell>
          <cell r="V1997">
            <v>61261.699989885092</v>
          </cell>
          <cell r="W1997">
            <v>0</v>
          </cell>
          <cell r="X1997">
            <v>0</v>
          </cell>
          <cell r="Y1997">
            <v>0</v>
          </cell>
          <cell r="Z1997">
            <v>36.099999994039536</v>
          </cell>
        </row>
        <row r="1998">
          <cell r="C1998" t="str">
            <v>KIRKLARELİ</v>
          </cell>
          <cell r="D1998" t="str">
            <v>KIRKLARELİMERKEZ</v>
          </cell>
          <cell r="H1998" t="str">
            <v>Dağıtım-AG</v>
          </cell>
          <cell r="I1998" t="str">
            <v>Uzun</v>
          </cell>
          <cell r="J1998" t="str">
            <v>Şebeke işletmecisi</v>
          </cell>
          <cell r="K1998" t="str">
            <v>Bildirimsiz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5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179.75000000442378</v>
          </cell>
        </row>
        <row r="1999">
          <cell r="C1999" t="str">
            <v>TEKİRDAĞ</v>
          </cell>
          <cell r="D1999" t="str">
            <v>MALKARA</v>
          </cell>
          <cell r="H1999" t="str">
            <v>Dağıtım-AG</v>
          </cell>
          <cell r="I1999" t="str">
            <v>Uzun</v>
          </cell>
          <cell r="J1999" t="str">
            <v>Şebeke işletmecisi</v>
          </cell>
          <cell r="K1999" t="str">
            <v>Bildirimsiz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12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430.79999999608845</v>
          </cell>
        </row>
        <row r="2000">
          <cell r="C2000" t="str">
            <v>EDİRNE</v>
          </cell>
          <cell r="D2000" t="str">
            <v>EDİRNEMERKEZ</v>
          </cell>
          <cell r="H2000" t="str">
            <v>Dağıtım-OG</v>
          </cell>
          <cell r="I2000" t="str">
            <v>Uzun</v>
          </cell>
          <cell r="J2000" t="str">
            <v>Şebeke işletmecisi</v>
          </cell>
          <cell r="K2000" t="str">
            <v>Bildirimsiz</v>
          </cell>
          <cell r="O2000">
            <v>4</v>
          </cell>
          <cell r="P2000">
            <v>1</v>
          </cell>
          <cell r="Q2000">
            <v>0</v>
          </cell>
          <cell r="R2000">
            <v>0</v>
          </cell>
          <cell r="S2000">
            <v>4</v>
          </cell>
          <cell r="T2000">
            <v>0</v>
          </cell>
          <cell r="U2000">
            <v>143.59999999869615</v>
          </cell>
          <cell r="V2000">
            <v>35.899999999674037</v>
          </cell>
          <cell r="W2000">
            <v>0</v>
          </cell>
          <cell r="X2000">
            <v>0</v>
          </cell>
          <cell r="Y2000">
            <v>143.59999999869615</v>
          </cell>
          <cell r="Z2000">
            <v>0</v>
          </cell>
        </row>
        <row r="2001">
          <cell r="C2001" t="str">
            <v>KIRKLARELİ</v>
          </cell>
          <cell r="D2001" t="str">
            <v>KIRKLARELİMERKEZ</v>
          </cell>
          <cell r="H2001" t="str">
            <v>Dağıtım-OG</v>
          </cell>
          <cell r="I2001" t="str">
            <v>Uzun</v>
          </cell>
          <cell r="J2001" t="str">
            <v>Şebeke işletmecisi</v>
          </cell>
          <cell r="K2001" t="str">
            <v>Bildirimli</v>
          </cell>
          <cell r="O2001">
            <v>0</v>
          </cell>
          <cell r="P2001">
            <v>594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21324.599999806378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</row>
        <row r="2002">
          <cell r="C2002" t="str">
            <v>KIRKLARELİ</v>
          </cell>
          <cell r="D2002" t="str">
            <v>KIRKLARELİMERKEZ</v>
          </cell>
          <cell r="H2002" t="str">
            <v>Dağıtım-OG</v>
          </cell>
          <cell r="I2002" t="str">
            <v>Uzun</v>
          </cell>
          <cell r="J2002" t="str">
            <v>Şebeke işletmecisi</v>
          </cell>
          <cell r="K2002" t="str">
            <v>Bildirimsiz</v>
          </cell>
          <cell r="O2002">
            <v>15</v>
          </cell>
          <cell r="P2002">
            <v>178</v>
          </cell>
          <cell r="Q2002">
            <v>1</v>
          </cell>
          <cell r="R2002">
            <v>0</v>
          </cell>
          <cell r="S2002">
            <v>10</v>
          </cell>
          <cell r="T2002">
            <v>4</v>
          </cell>
          <cell r="U2002">
            <v>537.50000007566996</v>
          </cell>
          <cell r="V2002">
            <v>6378.3333342312835</v>
          </cell>
          <cell r="W2002">
            <v>35.833333338377997</v>
          </cell>
          <cell r="X2002">
            <v>0</v>
          </cell>
          <cell r="Y2002">
            <v>358.33333338377997</v>
          </cell>
          <cell r="Z2002">
            <v>143.33333335351199</v>
          </cell>
        </row>
        <row r="2003">
          <cell r="C2003" t="str">
            <v>TEKİRDAĞ</v>
          </cell>
          <cell r="D2003" t="str">
            <v>MARMARAEREĞLİSİ</v>
          </cell>
          <cell r="H2003" t="str">
            <v>Dağıtım-OG</v>
          </cell>
          <cell r="I2003" t="str">
            <v>Uzun</v>
          </cell>
          <cell r="J2003" t="str">
            <v>Şebeke işletmecisi</v>
          </cell>
          <cell r="K2003" t="str">
            <v>Bildirimsiz</v>
          </cell>
          <cell r="O2003">
            <v>7</v>
          </cell>
          <cell r="P2003">
            <v>1831</v>
          </cell>
          <cell r="Q2003">
            <v>0</v>
          </cell>
          <cell r="R2003">
            <v>2</v>
          </cell>
          <cell r="S2003">
            <v>0</v>
          </cell>
          <cell r="T2003">
            <v>0</v>
          </cell>
          <cell r="U2003">
            <v>249.66666664928198</v>
          </cell>
          <cell r="V2003">
            <v>65305.666662119329</v>
          </cell>
          <cell r="W2003">
            <v>0</v>
          </cell>
          <cell r="X2003">
            <v>71.33333332836628</v>
          </cell>
          <cell r="Y2003">
            <v>0</v>
          </cell>
          <cell r="Z2003">
            <v>0</v>
          </cell>
        </row>
        <row r="2004">
          <cell r="C2004" t="str">
            <v>TEKİRDAĞ</v>
          </cell>
          <cell r="D2004" t="str">
            <v>HAYRABOLU</v>
          </cell>
          <cell r="H2004" t="str">
            <v>Dağıtım-OG</v>
          </cell>
          <cell r="I2004" t="str">
            <v>Uzun</v>
          </cell>
          <cell r="J2004" t="str">
            <v>Şebeke işletmecisi</v>
          </cell>
          <cell r="K2004" t="str">
            <v>Bildirimsiz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187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6644.7333348775283</v>
          </cell>
        </row>
        <row r="2005">
          <cell r="C2005" t="str">
            <v>TEKİRDAĞ</v>
          </cell>
          <cell r="D2005" t="str">
            <v>SÜLEYMANPAŞA</v>
          </cell>
          <cell r="H2005" t="str">
            <v>Dağıtım-AG</v>
          </cell>
          <cell r="I2005" t="str">
            <v>Uzun</v>
          </cell>
          <cell r="J2005" t="str">
            <v>Şebeke işletmecisi</v>
          </cell>
          <cell r="K2005" t="str">
            <v>Bildirimsiz</v>
          </cell>
          <cell r="O2005">
            <v>0</v>
          </cell>
          <cell r="P2005">
            <v>27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958.95000011776574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</row>
        <row r="2006">
          <cell r="C2006" t="str">
            <v>TEKİRDAĞ</v>
          </cell>
          <cell r="D2006" t="str">
            <v>ERGENE</v>
          </cell>
          <cell r="H2006" t="str">
            <v>Dağıtım-OG</v>
          </cell>
          <cell r="I2006" t="str">
            <v>Uzun</v>
          </cell>
          <cell r="J2006" t="str">
            <v>Şebeke işletmecisi</v>
          </cell>
          <cell r="K2006" t="str">
            <v>Bildirimsiz</v>
          </cell>
          <cell r="O2006">
            <v>3</v>
          </cell>
          <cell r="P2006">
            <v>0</v>
          </cell>
          <cell r="Q2006">
            <v>0</v>
          </cell>
          <cell r="R2006">
            <v>0</v>
          </cell>
          <cell r="S2006">
            <v>10</v>
          </cell>
          <cell r="T2006">
            <v>0</v>
          </cell>
          <cell r="U2006">
            <v>106.50000000139698</v>
          </cell>
          <cell r="V2006">
            <v>0</v>
          </cell>
          <cell r="W2006">
            <v>0</v>
          </cell>
          <cell r="X2006">
            <v>0</v>
          </cell>
          <cell r="Y2006">
            <v>355.00000000465661</v>
          </cell>
          <cell r="Z2006">
            <v>0</v>
          </cell>
        </row>
        <row r="2007">
          <cell r="C2007" t="str">
            <v>TEKİRDAĞ</v>
          </cell>
          <cell r="D2007" t="str">
            <v>MARMARAEREĞLİSİ</v>
          </cell>
          <cell r="H2007" t="str">
            <v>Dağıtım-AG</v>
          </cell>
          <cell r="I2007" t="str">
            <v>Uzun</v>
          </cell>
          <cell r="J2007" t="str">
            <v>Şebeke işletmecisi</v>
          </cell>
          <cell r="K2007" t="str">
            <v>Bildirimsiz</v>
          </cell>
          <cell r="O2007">
            <v>0</v>
          </cell>
          <cell r="P2007">
            <v>5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177.24999999627471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</row>
        <row r="2008">
          <cell r="C2008" t="str">
            <v>EDİRNE</v>
          </cell>
          <cell r="D2008" t="str">
            <v>KEŞAN</v>
          </cell>
          <cell r="H2008" t="str">
            <v>Dağıtım-OG</v>
          </cell>
          <cell r="I2008" t="str">
            <v>Uzun</v>
          </cell>
          <cell r="J2008" t="str">
            <v>Şebeke işletmecisi</v>
          </cell>
          <cell r="K2008" t="str">
            <v>Bildirimsiz</v>
          </cell>
          <cell r="O2008">
            <v>0</v>
          </cell>
          <cell r="P2008">
            <v>580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20541.666661715135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</row>
        <row r="2009">
          <cell r="C2009" t="str">
            <v>TEKİRDAĞ</v>
          </cell>
          <cell r="D2009" t="str">
            <v>MARMARAEREĞLİSİ</v>
          </cell>
          <cell r="H2009" t="str">
            <v>Dağıtım-AG</v>
          </cell>
          <cell r="I2009" t="str">
            <v>Uzun</v>
          </cell>
          <cell r="J2009" t="str">
            <v>Şebeke işletmecisi</v>
          </cell>
          <cell r="K2009" t="str">
            <v>Bildirimsiz</v>
          </cell>
          <cell r="O2009">
            <v>0</v>
          </cell>
          <cell r="P2009">
            <v>0</v>
          </cell>
          <cell r="Q2009">
            <v>0</v>
          </cell>
          <cell r="R2009">
            <v>28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990.73333346284926</v>
          </cell>
          <cell r="Y2009">
            <v>0</v>
          </cell>
          <cell r="Z2009">
            <v>0</v>
          </cell>
        </row>
        <row r="2010">
          <cell r="C2010" t="str">
            <v>TEKİRDAĞ</v>
          </cell>
          <cell r="D2010" t="str">
            <v>MARMARAEREĞLİSİ</v>
          </cell>
          <cell r="H2010" t="str">
            <v>Dağıtım-AG</v>
          </cell>
          <cell r="I2010" t="str">
            <v>Uzun</v>
          </cell>
          <cell r="J2010" t="str">
            <v>Şebeke işletmecisi</v>
          </cell>
          <cell r="K2010" t="str">
            <v>Bildirimsiz</v>
          </cell>
          <cell r="O2010">
            <v>0</v>
          </cell>
          <cell r="P2010">
            <v>0</v>
          </cell>
          <cell r="Q2010">
            <v>0</v>
          </cell>
          <cell r="R2010">
            <v>25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884.16666668490507</v>
          </cell>
          <cell r="Y2010">
            <v>0</v>
          </cell>
          <cell r="Z2010">
            <v>0</v>
          </cell>
        </row>
        <row r="2011">
          <cell r="C2011" t="str">
            <v>KIRKLARELİ</v>
          </cell>
          <cell r="D2011" t="str">
            <v>KIRKLARELİMERKEZ</v>
          </cell>
          <cell r="H2011" t="str">
            <v>Dağıtım-OG</v>
          </cell>
          <cell r="I2011" t="str">
            <v>Uzun</v>
          </cell>
          <cell r="J2011" t="str">
            <v>Şebeke işletmecisi</v>
          </cell>
          <cell r="K2011" t="str">
            <v>Bildirimsiz</v>
          </cell>
          <cell r="O2011">
            <v>8</v>
          </cell>
          <cell r="P2011">
            <v>13955</v>
          </cell>
          <cell r="Q2011">
            <v>0</v>
          </cell>
          <cell r="R2011">
            <v>9</v>
          </cell>
          <cell r="S2011">
            <v>0</v>
          </cell>
          <cell r="T2011">
            <v>15</v>
          </cell>
          <cell r="U2011">
            <v>282.66666661016643</v>
          </cell>
          <cell r="V2011">
            <v>493076.66656810907</v>
          </cell>
          <cell r="W2011">
            <v>0</v>
          </cell>
          <cell r="X2011">
            <v>317.99999993643723</v>
          </cell>
          <cell r="Y2011">
            <v>0</v>
          </cell>
          <cell r="Z2011">
            <v>529.99999989406206</v>
          </cell>
        </row>
        <row r="2012">
          <cell r="C2012" t="str">
            <v>EDİRNE</v>
          </cell>
          <cell r="D2012" t="str">
            <v>KEŞAN</v>
          </cell>
          <cell r="H2012" t="str">
            <v>Dağıtım-AG</v>
          </cell>
          <cell r="I2012" t="str">
            <v>Uzun</v>
          </cell>
          <cell r="J2012" t="str">
            <v>Şebeke işletmecisi</v>
          </cell>
          <cell r="K2012" t="str">
            <v>Bildirimsiz</v>
          </cell>
          <cell r="O2012">
            <v>0</v>
          </cell>
          <cell r="P2012">
            <v>6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211.99999995762482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</row>
        <row r="2013">
          <cell r="C2013" t="str">
            <v>TEKİRDAĞ</v>
          </cell>
          <cell r="D2013" t="str">
            <v>MURATLI</v>
          </cell>
          <cell r="H2013" t="str">
            <v>Dağıtım-AG</v>
          </cell>
          <cell r="I2013" t="str">
            <v>Uzun</v>
          </cell>
          <cell r="J2013" t="str">
            <v>Şebeke işletmecisi</v>
          </cell>
          <cell r="K2013" t="str">
            <v>Bildirimsiz</v>
          </cell>
          <cell r="O2013">
            <v>0</v>
          </cell>
          <cell r="P2013">
            <v>4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141.19999998249114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</row>
        <row r="2014">
          <cell r="C2014" t="str">
            <v>EDİRNE</v>
          </cell>
          <cell r="D2014" t="str">
            <v>MERİÇ</v>
          </cell>
          <cell r="H2014" t="str">
            <v>Dağıtım-OG</v>
          </cell>
          <cell r="I2014" t="str">
            <v>Uzun</v>
          </cell>
          <cell r="J2014" t="str">
            <v>Şebeke işletmecisi</v>
          </cell>
          <cell r="K2014" t="str">
            <v>Bildirimsiz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14</v>
          </cell>
          <cell r="T2014">
            <v>766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493.50000006845221</v>
          </cell>
          <cell r="Z2014">
            <v>27001.500003745314</v>
          </cell>
        </row>
        <row r="2015">
          <cell r="C2015" t="str">
            <v>TEKİRDAĞ</v>
          </cell>
          <cell r="D2015" t="str">
            <v>MARMARAEREĞLİSİ</v>
          </cell>
          <cell r="H2015" t="str">
            <v>Dağıtım-AG</v>
          </cell>
          <cell r="I2015" t="str">
            <v>Uzun</v>
          </cell>
          <cell r="J2015" t="str">
            <v>Şebeke işletmecisi</v>
          </cell>
          <cell r="K2015" t="str">
            <v>Bildirimsiz</v>
          </cell>
          <cell r="O2015">
            <v>0</v>
          </cell>
          <cell r="P2015">
            <v>11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387.74999993853271</v>
          </cell>
          <cell r="W2015">
            <v>0</v>
          </cell>
          <cell r="X2015">
            <v>0</v>
          </cell>
          <cell r="Y2015">
            <v>0</v>
          </cell>
          <cell r="Z2015">
            <v>0</v>
          </cell>
        </row>
        <row r="2016">
          <cell r="C2016" t="str">
            <v>EDİRNE</v>
          </cell>
          <cell r="D2016" t="str">
            <v>EDİRNEMERKEZ</v>
          </cell>
          <cell r="H2016" t="str">
            <v>Dağıtım-OG</v>
          </cell>
          <cell r="I2016" t="str">
            <v>Uzun</v>
          </cell>
          <cell r="J2016" t="str">
            <v>Şebeke İşletmecisi</v>
          </cell>
          <cell r="K2016" t="str">
            <v>Bildirimsiz</v>
          </cell>
          <cell r="O2016">
            <v>4</v>
          </cell>
          <cell r="P2016">
            <v>810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140.93333333730698</v>
          </cell>
          <cell r="V2016">
            <v>28539.000000804663</v>
          </cell>
          <cell r="W2016">
            <v>0</v>
          </cell>
          <cell r="X2016">
            <v>0</v>
          </cell>
          <cell r="Y2016">
            <v>0</v>
          </cell>
          <cell r="Z2016">
            <v>0</v>
          </cell>
        </row>
        <row r="2017">
          <cell r="C2017" t="str">
            <v>TEKİRDAĞ</v>
          </cell>
          <cell r="D2017" t="str">
            <v>MARMARAEREĞLİSİ</v>
          </cell>
          <cell r="H2017" t="str">
            <v>Dağıtım-AG</v>
          </cell>
          <cell r="I2017" t="str">
            <v>Uzun</v>
          </cell>
          <cell r="J2017" t="str">
            <v>Şebeke işletmecisi</v>
          </cell>
          <cell r="K2017" t="str">
            <v>Bildirimsiz</v>
          </cell>
          <cell r="O2017">
            <v>0</v>
          </cell>
          <cell r="P2017">
            <v>173</v>
          </cell>
          <cell r="Q2017">
            <v>0</v>
          </cell>
          <cell r="R2017">
            <v>1</v>
          </cell>
          <cell r="S2017">
            <v>0</v>
          </cell>
          <cell r="T2017">
            <v>0</v>
          </cell>
          <cell r="U2017">
            <v>0</v>
          </cell>
          <cell r="V2017">
            <v>6086.7166666290723</v>
          </cell>
          <cell r="W2017">
            <v>0</v>
          </cell>
          <cell r="X2017">
            <v>35.183333333116025</v>
          </cell>
          <cell r="Y2017">
            <v>0</v>
          </cell>
          <cell r="Z2017">
            <v>0</v>
          </cell>
        </row>
        <row r="2018">
          <cell r="C2018" t="str">
            <v>EDİRNE</v>
          </cell>
          <cell r="D2018" t="str">
            <v>İPSALA</v>
          </cell>
          <cell r="H2018" t="str">
            <v>Dağıtım-AG</v>
          </cell>
          <cell r="I2018" t="str">
            <v>Uzun</v>
          </cell>
          <cell r="J2018" t="str">
            <v>Şebeke işletmecisi</v>
          </cell>
          <cell r="K2018" t="str">
            <v>Bildirimsiz</v>
          </cell>
          <cell r="O2018">
            <v>0</v>
          </cell>
          <cell r="P2018">
            <v>0</v>
          </cell>
          <cell r="Q2018">
            <v>0</v>
          </cell>
          <cell r="R2018">
            <v>1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35.183333333116025</v>
          </cell>
          <cell r="Y2018">
            <v>0</v>
          </cell>
          <cell r="Z2018">
            <v>0</v>
          </cell>
        </row>
        <row r="2019">
          <cell r="C2019" t="str">
            <v>EDİRNE</v>
          </cell>
          <cell r="D2019" t="str">
            <v>KEŞAN</v>
          </cell>
          <cell r="H2019" t="str">
            <v>Dağıtım-AG</v>
          </cell>
          <cell r="I2019" t="str">
            <v>Uzun</v>
          </cell>
          <cell r="J2019" t="str">
            <v>Şebeke işletmecisi</v>
          </cell>
          <cell r="K2019" t="str">
            <v>Bildirimsiz</v>
          </cell>
          <cell r="O2019">
            <v>0</v>
          </cell>
          <cell r="P2019">
            <v>17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596.70000002137385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</row>
        <row r="2020">
          <cell r="C2020" t="str">
            <v>KIRKLARELİ</v>
          </cell>
          <cell r="D2020" t="str">
            <v>LÜLEBURGAZ</v>
          </cell>
          <cell r="H2020" t="str">
            <v>Dağıtım-AG</v>
          </cell>
          <cell r="I2020" t="str">
            <v>Uzun</v>
          </cell>
          <cell r="J2020" t="str">
            <v>Şebeke işletmecisi</v>
          </cell>
          <cell r="K2020" t="str">
            <v>Bildirimsiz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72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2522.3999997228384</v>
          </cell>
        </row>
        <row r="2021">
          <cell r="C2021" t="str">
            <v>EDİRNE</v>
          </cell>
          <cell r="D2021" t="str">
            <v>EDİRNEMERKEZ</v>
          </cell>
          <cell r="H2021" t="str">
            <v>Dağıtım-AG</v>
          </cell>
          <cell r="I2021" t="str">
            <v>Uzun</v>
          </cell>
          <cell r="J2021" t="str">
            <v>Şebeke işletmecisi</v>
          </cell>
          <cell r="K2021" t="str">
            <v>Bildirimsiz</v>
          </cell>
          <cell r="O2021">
            <v>0</v>
          </cell>
          <cell r="P2021">
            <v>30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1050.0000002793968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</row>
        <row r="2022">
          <cell r="C2022" t="str">
            <v>EDİRNE</v>
          </cell>
          <cell r="D2022" t="str">
            <v>EDİRNEMERKEZ</v>
          </cell>
          <cell r="H2022" t="str">
            <v>Dağıtım-OG</v>
          </cell>
          <cell r="I2022" t="str">
            <v>Uzun</v>
          </cell>
          <cell r="J2022" t="str">
            <v>Şebeke işletmecisi</v>
          </cell>
          <cell r="K2022" t="str">
            <v>Bildirimsiz</v>
          </cell>
          <cell r="O2022">
            <v>8</v>
          </cell>
          <cell r="P2022">
            <v>53</v>
          </cell>
          <cell r="Q2022">
            <v>0</v>
          </cell>
          <cell r="R2022">
            <v>0</v>
          </cell>
          <cell r="S2022">
            <v>5</v>
          </cell>
          <cell r="T2022">
            <v>0</v>
          </cell>
          <cell r="U2022">
            <v>279.60000006482005</v>
          </cell>
          <cell r="V2022">
            <v>1852.3500004294328</v>
          </cell>
          <cell r="W2022">
            <v>0</v>
          </cell>
          <cell r="X2022">
            <v>0</v>
          </cell>
          <cell r="Y2022">
            <v>174.75000004051253</v>
          </cell>
          <cell r="Z2022">
            <v>0</v>
          </cell>
        </row>
        <row r="2023">
          <cell r="C2023" t="str">
            <v>TEKİRDAĞ</v>
          </cell>
          <cell r="D2023" t="str">
            <v>SÜLEYMANPAŞA</v>
          </cell>
          <cell r="H2023" t="str">
            <v>Dağıtım-AG</v>
          </cell>
          <cell r="I2023" t="str">
            <v>Uzun</v>
          </cell>
          <cell r="J2023" t="str">
            <v>Şebeke işletmecisi</v>
          </cell>
          <cell r="K2023" t="str">
            <v>Bildirimsiz</v>
          </cell>
          <cell r="O2023">
            <v>0</v>
          </cell>
          <cell r="P2023">
            <v>15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522.74999992805533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</row>
        <row r="2024">
          <cell r="C2024" t="str">
            <v>TEKİRDAĞ</v>
          </cell>
          <cell r="D2024" t="str">
            <v>SARAY</v>
          </cell>
          <cell r="H2024" t="str">
            <v>Dağıtım-AG</v>
          </cell>
          <cell r="I2024" t="str">
            <v>Uzun</v>
          </cell>
          <cell r="J2024" t="str">
            <v>Şebeke işletmecisi</v>
          </cell>
          <cell r="K2024" t="str">
            <v>Bildirimsiz</v>
          </cell>
          <cell r="O2024">
            <v>0</v>
          </cell>
          <cell r="P2024">
            <v>0</v>
          </cell>
          <cell r="Q2024">
            <v>0</v>
          </cell>
          <cell r="R2024">
            <v>2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69.666666649281979</v>
          </cell>
          <cell r="Y2024">
            <v>0</v>
          </cell>
          <cell r="Z2024">
            <v>0</v>
          </cell>
        </row>
        <row r="2025">
          <cell r="C2025" t="str">
            <v>EDİRNE</v>
          </cell>
          <cell r="D2025" t="str">
            <v>UZUNKÖPRÜ</v>
          </cell>
          <cell r="H2025" t="str">
            <v>Dağıtım-OG</v>
          </cell>
          <cell r="I2025" t="str">
            <v>Uzun</v>
          </cell>
          <cell r="J2025" t="str">
            <v>Şebeke işletmecisi</v>
          </cell>
          <cell r="K2025" t="str">
            <v>Bildirimsiz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190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6608.8333334424533</v>
          </cell>
        </row>
        <row r="2026">
          <cell r="C2026" t="str">
            <v>TEKİRDAĞ</v>
          </cell>
          <cell r="D2026" t="str">
            <v>MALKARA</v>
          </cell>
          <cell r="H2026" t="str">
            <v>Dağıtım-AG</v>
          </cell>
          <cell r="I2026" t="str">
            <v>Uzun</v>
          </cell>
          <cell r="J2026" t="str">
            <v>Şebeke işletmecisi</v>
          </cell>
          <cell r="K2026" t="str">
            <v>Bildirimsiz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19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660.88333334424533</v>
          </cell>
        </row>
        <row r="2027">
          <cell r="C2027" t="str">
            <v>TEKİRDAĞ</v>
          </cell>
          <cell r="D2027" t="str">
            <v>ÇORLU</v>
          </cell>
          <cell r="H2027" t="str">
            <v>Dağıtım-AG</v>
          </cell>
          <cell r="I2027" t="str">
            <v>Uzun</v>
          </cell>
          <cell r="J2027" t="str">
            <v>Şebeke işletmecisi</v>
          </cell>
          <cell r="K2027" t="str">
            <v>Bildirimsiz</v>
          </cell>
          <cell r="O2027">
            <v>0</v>
          </cell>
          <cell r="P2027">
            <v>265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9208.7499980872963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</row>
        <row r="2028">
          <cell r="C2028" t="str">
            <v>EDİRNE</v>
          </cell>
          <cell r="D2028" t="str">
            <v>KEŞAN</v>
          </cell>
          <cell r="H2028" t="str">
            <v>Dağıtım-OG</v>
          </cell>
          <cell r="I2028" t="str">
            <v>Uzun</v>
          </cell>
          <cell r="J2028" t="str">
            <v>Şebeke İşletmecisi</v>
          </cell>
          <cell r="K2028" t="str">
            <v>Bildirimsiz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125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4339.5833327667788</v>
          </cell>
        </row>
        <row r="2029">
          <cell r="C2029" t="str">
            <v>KIRKLARELİ</v>
          </cell>
          <cell r="D2029" t="str">
            <v>LÜLEBURGAZ</v>
          </cell>
          <cell r="H2029" t="str">
            <v>Dağıtım-AG</v>
          </cell>
          <cell r="I2029" t="str">
            <v>Uzun</v>
          </cell>
          <cell r="J2029" t="str">
            <v>Şebeke işletmecisi</v>
          </cell>
          <cell r="K2029" t="str">
            <v>Bildirimsiz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4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138.66666664369404</v>
          </cell>
        </row>
        <row r="2030">
          <cell r="C2030" t="str">
            <v>TEKİRDAĞ</v>
          </cell>
          <cell r="D2030" t="str">
            <v>MARMARAEREĞLİSİ</v>
          </cell>
          <cell r="H2030" t="str">
            <v>Dağıtım-OG</v>
          </cell>
          <cell r="I2030" t="str">
            <v>Uzun</v>
          </cell>
          <cell r="J2030" t="str">
            <v>Şebeke işletmecisi</v>
          </cell>
          <cell r="K2030" t="str">
            <v>Bildirimsiz</v>
          </cell>
          <cell r="O2030">
            <v>0</v>
          </cell>
          <cell r="P2030">
            <v>0</v>
          </cell>
          <cell r="Q2030">
            <v>4</v>
          </cell>
          <cell r="R2030">
            <v>15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138.46666668076068</v>
          </cell>
          <cell r="X2030">
            <v>519.25000005285256</v>
          </cell>
          <cell r="Y2030">
            <v>0</v>
          </cell>
          <cell r="Z2030">
            <v>0</v>
          </cell>
        </row>
        <row r="2031">
          <cell r="C2031" t="str">
            <v>KIRKLARELİ</v>
          </cell>
          <cell r="D2031" t="str">
            <v>KIRKLARELİMERKEZ</v>
          </cell>
          <cell r="H2031" t="str">
            <v>Dağıtım-OG</v>
          </cell>
          <cell r="I2031" t="str">
            <v>Uzun</v>
          </cell>
          <cell r="J2031" t="str">
            <v>Şebeke İşletmecisi</v>
          </cell>
          <cell r="K2031" t="str">
            <v>Bildirimsiz</v>
          </cell>
          <cell r="O2031">
            <v>9</v>
          </cell>
          <cell r="P2031">
            <v>321</v>
          </cell>
          <cell r="Q2031">
            <v>3</v>
          </cell>
          <cell r="R2031">
            <v>9</v>
          </cell>
          <cell r="S2031">
            <v>1</v>
          </cell>
          <cell r="T2031">
            <v>0</v>
          </cell>
          <cell r="U2031">
            <v>311.55000003171153</v>
          </cell>
          <cell r="V2031">
            <v>11111.950001131045</v>
          </cell>
          <cell r="W2031">
            <v>103.85000001057051</v>
          </cell>
          <cell r="X2031">
            <v>311.55000003171153</v>
          </cell>
          <cell r="Y2031">
            <v>34.61666667019017</v>
          </cell>
          <cell r="Z2031">
            <v>0</v>
          </cell>
        </row>
        <row r="2032">
          <cell r="C2032" t="str">
            <v>TEKİRDAĞ</v>
          </cell>
          <cell r="D2032" t="str">
            <v>SÜLEYMANPAŞA</v>
          </cell>
          <cell r="H2032" t="str">
            <v>Dağıtım-AG</v>
          </cell>
          <cell r="I2032" t="str">
            <v>Uzun</v>
          </cell>
          <cell r="J2032" t="str">
            <v>Şebeke işletmecisi</v>
          </cell>
          <cell r="K2032" t="str">
            <v>Bildirimsiz</v>
          </cell>
          <cell r="O2032">
            <v>0</v>
          </cell>
          <cell r="P2032">
            <v>45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1554.0000002249144</v>
          </cell>
          <cell r="W2032">
            <v>0</v>
          </cell>
          <cell r="X2032">
            <v>0</v>
          </cell>
          <cell r="Y2032">
            <v>0</v>
          </cell>
          <cell r="Z2032">
            <v>0</v>
          </cell>
        </row>
        <row r="2033">
          <cell r="C2033" t="str">
            <v>EDİRNE</v>
          </cell>
          <cell r="D2033" t="str">
            <v>ENEZ</v>
          </cell>
          <cell r="H2033" t="str">
            <v>Dağıtım-AG</v>
          </cell>
          <cell r="I2033" t="str">
            <v>Uzun</v>
          </cell>
          <cell r="J2033" t="str">
            <v>Şebeke işletmecisi</v>
          </cell>
          <cell r="K2033" t="str">
            <v>Bildirimsiz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2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  <cell r="Y2033">
            <v>0</v>
          </cell>
          <cell r="Z2033">
            <v>68.933333333116025</v>
          </cell>
        </row>
        <row r="2034">
          <cell r="C2034" t="str">
            <v>TEKİRDAĞ</v>
          </cell>
          <cell r="D2034" t="str">
            <v>MARMARAEREĞLİSİ</v>
          </cell>
          <cell r="H2034" t="str">
            <v>Dağıtım-AG</v>
          </cell>
          <cell r="I2034" t="str">
            <v>Uzun</v>
          </cell>
          <cell r="J2034" t="str">
            <v>Şebeke işletmecisi</v>
          </cell>
          <cell r="K2034" t="str">
            <v>Bildirimsiz</v>
          </cell>
          <cell r="O2034">
            <v>0</v>
          </cell>
          <cell r="P2034">
            <v>8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275.7333333324641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</row>
        <row r="2035">
          <cell r="C2035" t="str">
            <v>EDİRNE</v>
          </cell>
          <cell r="D2035" t="str">
            <v>ENEZ</v>
          </cell>
          <cell r="H2035" t="str">
            <v>Dağıtım-OG</v>
          </cell>
          <cell r="I2035" t="str">
            <v>Uzun</v>
          </cell>
          <cell r="J2035" t="str">
            <v>Şebeke İşletmecisi</v>
          </cell>
          <cell r="K2035" t="str">
            <v>Bildirimsiz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27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927.89999993168749</v>
          </cell>
          <cell r="Z2035">
            <v>0</v>
          </cell>
        </row>
        <row r="2036">
          <cell r="C2036" t="str">
            <v>TEKİRDAĞ</v>
          </cell>
          <cell r="D2036" t="str">
            <v>KAPAKLI</v>
          </cell>
          <cell r="H2036" t="str">
            <v>Dağıtım-AG</v>
          </cell>
          <cell r="I2036" t="str">
            <v>Uzun</v>
          </cell>
          <cell r="J2036" t="str">
            <v>Şebeke işletmecisi</v>
          </cell>
          <cell r="K2036" t="str">
            <v>Bildirimsiz</v>
          </cell>
          <cell r="O2036">
            <v>0</v>
          </cell>
          <cell r="P2036">
            <v>49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1683.1499996851198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</row>
        <row r="2037">
          <cell r="C2037" t="str">
            <v>EDİRNE</v>
          </cell>
          <cell r="D2037" t="str">
            <v>UZUNKÖPRÜ</v>
          </cell>
          <cell r="H2037" t="str">
            <v>Dağıtım-AG</v>
          </cell>
          <cell r="I2037" t="str">
            <v>Uzun</v>
          </cell>
          <cell r="J2037" t="str">
            <v>Şebeke işletmecisi</v>
          </cell>
          <cell r="K2037" t="str">
            <v>Bildirimsiz</v>
          </cell>
          <cell r="O2037">
            <v>0</v>
          </cell>
          <cell r="P2037">
            <v>21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719.95000019785948</v>
          </cell>
          <cell r="W2037">
            <v>0</v>
          </cell>
          <cell r="X2037">
            <v>0</v>
          </cell>
          <cell r="Y2037">
            <v>0</v>
          </cell>
          <cell r="Z2037">
            <v>0</v>
          </cell>
        </row>
        <row r="2038">
          <cell r="C2038" t="str">
            <v>EDİRNE</v>
          </cell>
          <cell r="D2038" t="str">
            <v>EDİRNEMERKEZ</v>
          </cell>
          <cell r="H2038" t="str">
            <v>Dağıtım-AG</v>
          </cell>
          <cell r="I2038" t="str">
            <v>Uzun</v>
          </cell>
          <cell r="J2038" t="str">
            <v>Şebeke işletmecisi</v>
          </cell>
          <cell r="K2038" t="str">
            <v>Bildirimsiz</v>
          </cell>
          <cell r="O2038">
            <v>0</v>
          </cell>
          <cell r="P2038">
            <v>28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959.93333330377936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</row>
        <row r="2039">
          <cell r="C2039" t="str">
            <v>EDİRNE</v>
          </cell>
          <cell r="D2039" t="str">
            <v>KEŞAN</v>
          </cell>
          <cell r="H2039" t="str">
            <v>Dağıtım-AG</v>
          </cell>
          <cell r="I2039" t="str">
            <v>Uzun</v>
          </cell>
          <cell r="J2039" t="str">
            <v>Şebeke işletmecisi</v>
          </cell>
          <cell r="K2039" t="str">
            <v>Bildirimsiz</v>
          </cell>
          <cell r="O2039">
            <v>0</v>
          </cell>
          <cell r="P2039">
            <v>29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993.73333318973891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</row>
        <row r="2040">
          <cell r="C2040" t="str">
            <v>TEKİRDAĞ</v>
          </cell>
          <cell r="D2040" t="str">
            <v>MARMARAEREĞLİSİ</v>
          </cell>
          <cell r="H2040" t="str">
            <v>Dağıtım-AG</v>
          </cell>
          <cell r="I2040" t="str">
            <v>Uzun</v>
          </cell>
          <cell r="J2040" t="str">
            <v>Şebeke işletmecisi</v>
          </cell>
          <cell r="K2040" t="str">
            <v>Bildirimsiz</v>
          </cell>
          <cell r="O2040">
            <v>0</v>
          </cell>
          <cell r="P2040">
            <v>66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2259.3999998504296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</row>
        <row r="2041">
          <cell r="C2041" t="str">
            <v>KIRKLARELİ</v>
          </cell>
          <cell r="D2041" t="str">
            <v>KIRKLARELİMERKEZ</v>
          </cell>
          <cell r="H2041" t="str">
            <v>Dağıtım-OG</v>
          </cell>
          <cell r="I2041" t="str">
            <v>Uzun</v>
          </cell>
          <cell r="J2041" t="str">
            <v>Şebeke İşletmecisi</v>
          </cell>
          <cell r="K2041" t="str">
            <v>Bildirimsiz</v>
          </cell>
          <cell r="O2041">
            <v>1</v>
          </cell>
          <cell r="P2041">
            <v>4562</v>
          </cell>
          <cell r="Q2041">
            <v>0</v>
          </cell>
          <cell r="R2041">
            <v>4</v>
          </cell>
          <cell r="S2041">
            <v>0</v>
          </cell>
          <cell r="T2041">
            <v>9</v>
          </cell>
          <cell r="U2041">
            <v>34.216666670981795</v>
          </cell>
          <cell r="V2041">
            <v>156096.43335301895</v>
          </cell>
          <cell r="W2041">
            <v>0</v>
          </cell>
          <cell r="X2041">
            <v>136.86666668392718</v>
          </cell>
          <cell r="Y2041">
            <v>0</v>
          </cell>
          <cell r="Z2041">
            <v>307.95000003883615</v>
          </cell>
        </row>
        <row r="2042">
          <cell r="C2042" t="str">
            <v>TEKİRDAĞ</v>
          </cell>
          <cell r="D2042" t="str">
            <v>MARMARAEREĞLİSİ</v>
          </cell>
          <cell r="H2042" t="str">
            <v>Dağıtım-AG</v>
          </cell>
          <cell r="I2042" t="str">
            <v>Uzun</v>
          </cell>
          <cell r="J2042" t="str">
            <v>Şebeke işletmecisi</v>
          </cell>
          <cell r="K2042" t="str">
            <v>Bildirimsiz</v>
          </cell>
          <cell r="O2042">
            <v>0</v>
          </cell>
          <cell r="P2042">
            <v>15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513.00000000628643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</row>
        <row r="2043">
          <cell r="C2043" t="str">
            <v>EDİRNE</v>
          </cell>
          <cell r="D2043" t="str">
            <v>EDİRNEMERKEZ</v>
          </cell>
          <cell r="H2043" t="str">
            <v>Dağıtım-OG</v>
          </cell>
          <cell r="I2043" t="str">
            <v>Uzun</v>
          </cell>
          <cell r="J2043" t="str">
            <v>Şebeke işletmecisi</v>
          </cell>
          <cell r="K2043" t="str">
            <v>Bildirimsiz</v>
          </cell>
          <cell r="O2043">
            <v>28</v>
          </cell>
          <cell r="P2043">
            <v>541</v>
          </cell>
          <cell r="Q2043">
            <v>0</v>
          </cell>
          <cell r="R2043">
            <v>1</v>
          </cell>
          <cell r="S2043">
            <v>5</v>
          </cell>
          <cell r="T2043">
            <v>0</v>
          </cell>
          <cell r="U2043">
            <v>957.13333323597908</v>
          </cell>
          <cell r="V2043">
            <v>18493.18333145231</v>
          </cell>
          <cell r="W2043">
            <v>0</v>
          </cell>
          <cell r="X2043">
            <v>34.183333329856396</v>
          </cell>
          <cell r="Y2043">
            <v>170.91666664928198</v>
          </cell>
          <cell r="Z2043">
            <v>0</v>
          </cell>
        </row>
        <row r="2044">
          <cell r="C2044" t="str">
            <v>TEKİRDAĞ</v>
          </cell>
          <cell r="D2044" t="str">
            <v>MARMARAEREĞLİSİ</v>
          </cell>
          <cell r="H2044" t="str">
            <v>Dağıtım-AG</v>
          </cell>
          <cell r="I2044" t="str">
            <v>Uzun</v>
          </cell>
          <cell r="J2044" t="str">
            <v>Şebeke işletmecisi</v>
          </cell>
          <cell r="K2044" t="str">
            <v>Bildirimsiz</v>
          </cell>
          <cell r="O2044">
            <v>0</v>
          </cell>
          <cell r="P2044">
            <v>7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239.16666668839753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</row>
        <row r="2045">
          <cell r="C2045" t="str">
            <v>EDİRNE</v>
          </cell>
          <cell r="D2045" t="str">
            <v>UZUNKÖPRÜ</v>
          </cell>
          <cell r="H2045" t="str">
            <v>Dağıtım-AG</v>
          </cell>
          <cell r="I2045" t="str">
            <v>Uzun</v>
          </cell>
          <cell r="J2045" t="str">
            <v>Şebeke işletmecisi</v>
          </cell>
          <cell r="K2045" t="str">
            <v>Bildirimsiz</v>
          </cell>
          <cell r="O2045">
            <v>0</v>
          </cell>
          <cell r="P2045">
            <v>3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102.35000000568107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</row>
        <row r="2046">
          <cell r="C2046" t="str">
            <v>TEKİRDAĞ</v>
          </cell>
          <cell r="D2046" t="str">
            <v>MARMARAEREĞLİSİ</v>
          </cell>
          <cell r="H2046" t="str">
            <v>Dağıtım-AG</v>
          </cell>
          <cell r="I2046" t="str">
            <v>Uzun</v>
          </cell>
          <cell r="J2046" t="str">
            <v>Şebeke işletmecisi</v>
          </cell>
          <cell r="K2046" t="str">
            <v>Bildirimsiz</v>
          </cell>
          <cell r="O2046">
            <v>0</v>
          </cell>
          <cell r="P2046">
            <v>0</v>
          </cell>
          <cell r="Q2046">
            <v>0</v>
          </cell>
          <cell r="R2046">
            <v>4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136.39999999199063</v>
          </cell>
          <cell r="Y2046">
            <v>0</v>
          </cell>
          <cell r="Z2046">
            <v>0</v>
          </cell>
        </row>
        <row r="2047">
          <cell r="C2047" t="str">
            <v>KIRKLARELİ</v>
          </cell>
          <cell r="D2047" t="str">
            <v>LÜLEBURGAZ</v>
          </cell>
          <cell r="H2047" t="str">
            <v>Dağıtım-OG</v>
          </cell>
          <cell r="I2047" t="str">
            <v>Uzun</v>
          </cell>
          <cell r="J2047" t="str">
            <v>Şebeke işletmecisi</v>
          </cell>
          <cell r="K2047" t="str">
            <v>Bildirimsiz</v>
          </cell>
          <cell r="O2047">
            <v>0</v>
          </cell>
          <cell r="P2047">
            <v>2</v>
          </cell>
          <cell r="Q2047">
            <v>0</v>
          </cell>
          <cell r="R2047">
            <v>0</v>
          </cell>
          <cell r="S2047">
            <v>0</v>
          </cell>
          <cell r="T2047">
            <v>694</v>
          </cell>
          <cell r="U2047">
            <v>0</v>
          </cell>
          <cell r="V2047">
            <v>68.166666675824672</v>
          </cell>
          <cell r="W2047">
            <v>0</v>
          </cell>
          <cell r="X2047">
            <v>0</v>
          </cell>
          <cell r="Y2047">
            <v>0</v>
          </cell>
          <cell r="Z2047">
            <v>23653.833336511161</v>
          </cell>
        </row>
        <row r="2048">
          <cell r="C2048" t="str">
            <v>EDİRNE</v>
          </cell>
          <cell r="D2048" t="str">
            <v>ENEZ</v>
          </cell>
          <cell r="H2048" t="str">
            <v>Dağıtım-OG</v>
          </cell>
          <cell r="I2048" t="str">
            <v>Uzun</v>
          </cell>
          <cell r="J2048" t="str">
            <v>Şebeke İşletmecisi</v>
          </cell>
          <cell r="K2048" t="str">
            <v>Bildirimsiz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1</v>
          </cell>
          <cell r="T2048">
            <v>123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34.066666667349637</v>
          </cell>
          <cell r="Z2048">
            <v>4190.2000000840053</v>
          </cell>
        </row>
        <row r="2049">
          <cell r="C2049" t="str">
            <v>TEKİRDAĞ</v>
          </cell>
          <cell r="D2049" t="str">
            <v>SARAY</v>
          </cell>
          <cell r="H2049" t="str">
            <v>Dağıtım-AG</v>
          </cell>
          <cell r="I2049" t="str">
            <v>Uzun</v>
          </cell>
          <cell r="J2049" t="str">
            <v>Şebeke işletmecisi</v>
          </cell>
          <cell r="K2049" t="str">
            <v>Bildirimsiz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1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33.999999995576218</v>
          </cell>
        </row>
        <row r="2050">
          <cell r="C2050" t="str">
            <v>TEKİRDAĞ</v>
          </cell>
          <cell r="D2050" t="str">
            <v>MARMARAEREĞLİSİ</v>
          </cell>
          <cell r="H2050" t="str">
            <v>Dağıtım-AG</v>
          </cell>
          <cell r="I2050" t="str">
            <v>Uzun</v>
          </cell>
          <cell r="J2050" t="str">
            <v>Şebeke işletmecisi</v>
          </cell>
          <cell r="K2050" t="str">
            <v>Bildirimsiz</v>
          </cell>
          <cell r="O2050">
            <v>0</v>
          </cell>
          <cell r="P2050">
            <v>2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67.966666670981795</v>
          </cell>
          <cell r="W2050">
            <v>0</v>
          </cell>
          <cell r="X2050">
            <v>0</v>
          </cell>
          <cell r="Y2050">
            <v>0</v>
          </cell>
          <cell r="Z2050">
            <v>0</v>
          </cell>
        </row>
        <row r="2051">
          <cell r="C2051" t="str">
            <v>KIRKLARELİ</v>
          </cell>
          <cell r="D2051" t="str">
            <v>LÜLEBURGAZ</v>
          </cell>
          <cell r="H2051" t="str">
            <v>Dağıtım-AG</v>
          </cell>
          <cell r="I2051" t="str">
            <v>Uzun</v>
          </cell>
          <cell r="J2051" t="str">
            <v>Şebeke işletmecisi</v>
          </cell>
          <cell r="K2051" t="str">
            <v>Bildirimsiz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31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1053.4833334002178</v>
          </cell>
        </row>
        <row r="2052">
          <cell r="C2052" t="str">
            <v>TEKİRDAĞ</v>
          </cell>
          <cell r="D2052" t="str">
            <v>ÇORLU</v>
          </cell>
          <cell r="H2052" t="str">
            <v>Dağıtım-OG</v>
          </cell>
          <cell r="I2052" t="str">
            <v>Uzun</v>
          </cell>
          <cell r="J2052" t="str">
            <v>Şebeke işletmecisi</v>
          </cell>
          <cell r="K2052" t="str">
            <v>Bildirimsiz</v>
          </cell>
          <cell r="O2052">
            <v>1</v>
          </cell>
          <cell r="P2052">
            <v>0</v>
          </cell>
          <cell r="Q2052">
            <v>0</v>
          </cell>
          <cell r="R2052">
            <v>0</v>
          </cell>
          <cell r="S2052">
            <v>6</v>
          </cell>
          <cell r="T2052">
            <v>36</v>
          </cell>
          <cell r="U2052">
            <v>33.983333325013518</v>
          </cell>
          <cell r="V2052">
            <v>0</v>
          </cell>
          <cell r="W2052">
            <v>0</v>
          </cell>
          <cell r="X2052">
            <v>0</v>
          </cell>
          <cell r="Y2052">
            <v>203.89999995008111</v>
          </cell>
          <cell r="Z2052">
            <v>1223.3999997004867</v>
          </cell>
        </row>
        <row r="2053">
          <cell r="C2053" t="str">
            <v>TEKİRDAĞ</v>
          </cell>
          <cell r="D2053" t="str">
            <v>SÜLEYMANPAŞA</v>
          </cell>
          <cell r="H2053" t="str">
            <v>Dağıtım-AG</v>
          </cell>
          <cell r="I2053" t="str">
            <v>Uzun</v>
          </cell>
          <cell r="J2053" t="str">
            <v>Şebeke işletmecisi</v>
          </cell>
          <cell r="K2053" t="str">
            <v>Bildirimsiz</v>
          </cell>
          <cell r="O2053">
            <v>0</v>
          </cell>
          <cell r="P2053">
            <v>33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1120.8999999426305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</row>
        <row r="2054">
          <cell r="C2054" t="str">
            <v>TEKİRDAĞ</v>
          </cell>
          <cell r="D2054" t="str">
            <v>ŞARKÖY</v>
          </cell>
          <cell r="H2054" t="str">
            <v>Dağıtım-AG</v>
          </cell>
          <cell r="I2054" t="str">
            <v>Uzun</v>
          </cell>
          <cell r="J2054" t="str">
            <v>Dışsal</v>
          </cell>
          <cell r="K2054" t="str">
            <v>Bildirimsiz</v>
          </cell>
          <cell r="O2054">
            <v>0</v>
          </cell>
          <cell r="P2054">
            <v>0</v>
          </cell>
          <cell r="Q2054">
            <v>0</v>
          </cell>
          <cell r="R2054">
            <v>47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1594.0833331947215</v>
          </cell>
          <cell r="Y2054">
            <v>0</v>
          </cell>
          <cell r="Z2054">
            <v>0</v>
          </cell>
        </row>
        <row r="2055">
          <cell r="C2055" t="str">
            <v>EDİRNE</v>
          </cell>
          <cell r="D2055" t="str">
            <v>MERİÇ</v>
          </cell>
          <cell r="H2055" t="str">
            <v>Dağıtım-AG</v>
          </cell>
          <cell r="I2055" t="str">
            <v>Uzun</v>
          </cell>
          <cell r="J2055" t="str">
            <v>Şebeke işletmecisi</v>
          </cell>
          <cell r="K2055" t="str">
            <v>Bildirimsiz</v>
          </cell>
          <cell r="O2055">
            <v>0</v>
          </cell>
          <cell r="P2055">
            <v>0</v>
          </cell>
          <cell r="Q2055">
            <v>0</v>
          </cell>
          <cell r="R2055">
            <v>28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949.20000010170043</v>
          </cell>
          <cell r="Y2055">
            <v>0</v>
          </cell>
          <cell r="Z2055">
            <v>0</v>
          </cell>
        </row>
        <row r="2056">
          <cell r="C2056" t="str">
            <v>KIRKLARELİ</v>
          </cell>
          <cell r="D2056" t="str">
            <v>KIRKLARELİMERKEZ</v>
          </cell>
          <cell r="H2056" t="str">
            <v>Dağıtım-AG</v>
          </cell>
          <cell r="I2056" t="str">
            <v>Uzun</v>
          </cell>
          <cell r="J2056" t="str">
            <v>Şebeke işletmecisi</v>
          </cell>
          <cell r="K2056" t="str">
            <v>Bildirimli</v>
          </cell>
          <cell r="O2056">
            <v>0</v>
          </cell>
          <cell r="P2056">
            <v>605</v>
          </cell>
          <cell r="Q2056">
            <v>0</v>
          </cell>
          <cell r="R2056">
            <v>0</v>
          </cell>
          <cell r="S2056">
            <v>0</v>
          </cell>
          <cell r="T2056">
            <v>45</v>
          </cell>
          <cell r="U2056">
            <v>0</v>
          </cell>
          <cell r="V2056">
            <v>20499.416666507022</v>
          </cell>
          <cell r="W2056">
            <v>0</v>
          </cell>
          <cell r="X2056">
            <v>0</v>
          </cell>
          <cell r="Y2056">
            <v>0</v>
          </cell>
          <cell r="Z2056">
            <v>1524.7499999881256</v>
          </cell>
        </row>
        <row r="2057">
          <cell r="C2057" t="str">
            <v>EDİRNE</v>
          </cell>
          <cell r="D2057" t="str">
            <v>KEŞAN</v>
          </cell>
          <cell r="H2057" t="str">
            <v>Dağıtım-AG</v>
          </cell>
          <cell r="I2057" t="str">
            <v>Uzun</v>
          </cell>
          <cell r="J2057" t="str">
            <v>Şebeke işletmecisi</v>
          </cell>
          <cell r="K2057" t="str">
            <v>Bildirimsiz</v>
          </cell>
          <cell r="O2057">
            <v>0</v>
          </cell>
          <cell r="P2057">
            <v>95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3217.3333339334931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</row>
        <row r="2058">
          <cell r="C2058" t="str">
            <v>TEKİRDAĞ</v>
          </cell>
          <cell r="D2058" t="str">
            <v>ŞARKÖY</v>
          </cell>
          <cell r="H2058" t="str">
            <v>Dağıtım-AG</v>
          </cell>
          <cell r="I2058" t="str">
            <v>Uzun</v>
          </cell>
          <cell r="J2058" t="str">
            <v>Şebeke işletmecisi</v>
          </cell>
          <cell r="K2058" t="str">
            <v>Bildirimsiz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78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2641.6000004927628</v>
          </cell>
        </row>
        <row r="2059">
          <cell r="C2059" t="str">
            <v>KIRKLARELİ</v>
          </cell>
          <cell r="D2059" t="str">
            <v>LÜLEBURGAZ</v>
          </cell>
          <cell r="H2059" t="str">
            <v>Dağıtım-OG</v>
          </cell>
          <cell r="I2059" t="str">
            <v>Uzun</v>
          </cell>
          <cell r="J2059" t="str">
            <v>Şebeke İşletmecisi</v>
          </cell>
          <cell r="K2059" t="str">
            <v>Bildirimsiz</v>
          </cell>
          <cell r="O2059">
            <v>0</v>
          </cell>
          <cell r="P2059">
            <v>96</v>
          </cell>
          <cell r="Q2059">
            <v>0</v>
          </cell>
          <cell r="R2059">
            <v>0</v>
          </cell>
          <cell r="S2059">
            <v>0</v>
          </cell>
          <cell r="T2059">
            <v>8</v>
          </cell>
          <cell r="U2059">
            <v>0</v>
          </cell>
          <cell r="V2059">
            <v>3249.5999992266297</v>
          </cell>
          <cell r="W2059">
            <v>0</v>
          </cell>
          <cell r="X2059">
            <v>0</v>
          </cell>
          <cell r="Y2059">
            <v>0</v>
          </cell>
          <cell r="Z2059">
            <v>270.79999993555248</v>
          </cell>
        </row>
        <row r="2060">
          <cell r="C2060" t="str">
            <v>TEKİRDAĞ</v>
          </cell>
          <cell r="D2060" t="str">
            <v>MALKARA</v>
          </cell>
          <cell r="H2060" t="str">
            <v>Dağıtım-AG</v>
          </cell>
          <cell r="I2060" t="str">
            <v>Uzun</v>
          </cell>
          <cell r="J2060" t="str">
            <v>Şebeke işletmecisi</v>
          </cell>
          <cell r="K2060" t="str">
            <v>Bildirimsiz</v>
          </cell>
          <cell r="O2060">
            <v>0</v>
          </cell>
          <cell r="P2060">
            <v>119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4016.25</v>
          </cell>
          <cell r="W2060">
            <v>0</v>
          </cell>
          <cell r="X2060">
            <v>0</v>
          </cell>
          <cell r="Y2060">
            <v>0</v>
          </cell>
          <cell r="Z2060">
            <v>0</v>
          </cell>
        </row>
        <row r="2061">
          <cell r="C2061" t="str">
            <v>TEKİRDAĞ</v>
          </cell>
          <cell r="D2061" t="str">
            <v>ÇERKEZKÖY</v>
          </cell>
          <cell r="H2061" t="str">
            <v>Dağıtım-OG</v>
          </cell>
          <cell r="I2061" t="str">
            <v>Uzun</v>
          </cell>
          <cell r="J2061" t="str">
            <v>Şebeke işletmecisi</v>
          </cell>
          <cell r="K2061" t="str">
            <v>Bildirimsiz</v>
          </cell>
          <cell r="O2061">
            <v>6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202.5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</row>
        <row r="2062">
          <cell r="C2062" t="str">
            <v>TEKİRDAĞ</v>
          </cell>
          <cell r="D2062" t="str">
            <v>SÜLEYMANPAŞA</v>
          </cell>
          <cell r="H2062" t="str">
            <v>Dağıtım-AG</v>
          </cell>
          <cell r="I2062" t="str">
            <v>Uzun</v>
          </cell>
          <cell r="J2062" t="str">
            <v>Şebeke işletmecisi</v>
          </cell>
          <cell r="K2062" t="str">
            <v>Bildirimsiz</v>
          </cell>
          <cell r="O2062">
            <v>0</v>
          </cell>
          <cell r="P2062">
            <v>1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33.699999998789281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</row>
        <row r="2063">
          <cell r="C2063" t="str">
            <v>TEKİRDAĞ</v>
          </cell>
          <cell r="D2063" t="str">
            <v>ÇORLU</v>
          </cell>
          <cell r="H2063" t="str">
            <v>Dağıtım-OG</v>
          </cell>
          <cell r="I2063" t="str">
            <v>Uzun</v>
          </cell>
          <cell r="J2063" t="str">
            <v>Şebeke işletmecisi</v>
          </cell>
          <cell r="K2063" t="str">
            <v>Bildirimsiz</v>
          </cell>
          <cell r="O2063">
            <v>9</v>
          </cell>
          <cell r="P2063">
            <v>5</v>
          </cell>
          <cell r="Q2063">
            <v>0</v>
          </cell>
          <cell r="R2063">
            <v>0</v>
          </cell>
          <cell r="S2063">
            <v>1</v>
          </cell>
          <cell r="T2063">
            <v>0</v>
          </cell>
          <cell r="U2063">
            <v>303.14999995403923</v>
          </cell>
          <cell r="V2063">
            <v>168.41666664113291</v>
          </cell>
          <cell r="W2063">
            <v>0</v>
          </cell>
          <cell r="X2063">
            <v>0</v>
          </cell>
          <cell r="Y2063">
            <v>33.683333328226581</v>
          </cell>
          <cell r="Z2063">
            <v>0</v>
          </cell>
        </row>
        <row r="2064">
          <cell r="C2064" t="str">
            <v>KIRKLARELİ</v>
          </cell>
          <cell r="D2064" t="str">
            <v>LÜLEBURGAZ</v>
          </cell>
          <cell r="H2064" t="str">
            <v>Dağıtım-AG</v>
          </cell>
          <cell r="I2064" t="str">
            <v>Uzun</v>
          </cell>
          <cell r="J2064" t="str">
            <v>Şebeke işletmecisi</v>
          </cell>
          <cell r="K2064" t="str">
            <v>Bildirimsiz</v>
          </cell>
          <cell r="O2064">
            <v>0</v>
          </cell>
          <cell r="P2064">
            <v>75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2525.0000001105946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</row>
        <row r="2065">
          <cell r="C2065" t="str">
            <v>KIRKLARELİ</v>
          </cell>
          <cell r="D2065" t="str">
            <v>VİZE</v>
          </cell>
          <cell r="H2065" t="str">
            <v>Dağıtım-AG</v>
          </cell>
          <cell r="I2065" t="str">
            <v>Uzun</v>
          </cell>
          <cell r="J2065" t="str">
            <v>Şebeke işletmecisi</v>
          </cell>
          <cell r="K2065" t="str">
            <v>Bildirimsiz</v>
          </cell>
          <cell r="O2065">
            <v>0</v>
          </cell>
          <cell r="P2065">
            <v>0</v>
          </cell>
          <cell r="Q2065">
            <v>0</v>
          </cell>
          <cell r="R2065">
            <v>10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335.99999996367842</v>
          </cell>
          <cell r="Y2065">
            <v>0</v>
          </cell>
          <cell r="Z2065">
            <v>0</v>
          </cell>
        </row>
        <row r="2066">
          <cell r="C2066" t="str">
            <v>TEKİRDAĞ</v>
          </cell>
          <cell r="D2066" t="str">
            <v>MALKARA</v>
          </cell>
          <cell r="H2066" t="str">
            <v>Dağıtım-OG</v>
          </cell>
          <cell r="I2066" t="str">
            <v>Uzun</v>
          </cell>
          <cell r="J2066" t="str">
            <v>Şebeke işletmecisi</v>
          </cell>
          <cell r="K2066" t="str">
            <v>Bildirimsiz</v>
          </cell>
          <cell r="O2066">
            <v>0</v>
          </cell>
          <cell r="P2066">
            <v>465</v>
          </cell>
          <cell r="Q2066">
            <v>0</v>
          </cell>
          <cell r="R2066">
            <v>2</v>
          </cell>
          <cell r="S2066">
            <v>0</v>
          </cell>
          <cell r="T2066">
            <v>0</v>
          </cell>
          <cell r="U2066">
            <v>0</v>
          </cell>
          <cell r="V2066">
            <v>15538.749997870764</v>
          </cell>
          <cell r="W2066">
            <v>0</v>
          </cell>
          <cell r="X2066">
            <v>66.833333324175328</v>
          </cell>
          <cell r="Y2066">
            <v>0</v>
          </cell>
          <cell r="Z2066">
            <v>0</v>
          </cell>
        </row>
        <row r="2067">
          <cell r="C2067" t="str">
            <v>TEKİRDAĞ</v>
          </cell>
          <cell r="D2067" t="str">
            <v>MARMARAEREĞLİSİ</v>
          </cell>
          <cell r="H2067" t="str">
            <v>Dağıtım-AG</v>
          </cell>
          <cell r="I2067" t="str">
            <v>Uzun</v>
          </cell>
          <cell r="J2067" t="str">
            <v>Şebeke işletmecisi</v>
          </cell>
          <cell r="K2067" t="str">
            <v>Bildirimsiz</v>
          </cell>
          <cell r="O2067">
            <v>0</v>
          </cell>
          <cell r="P2067">
            <v>0</v>
          </cell>
          <cell r="Q2067">
            <v>0</v>
          </cell>
          <cell r="R2067">
            <v>10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334.00000002002344</v>
          </cell>
          <cell r="Y2067">
            <v>0</v>
          </cell>
          <cell r="Z2067">
            <v>0</v>
          </cell>
        </row>
        <row r="2068">
          <cell r="C2068" t="str">
            <v>EDİRNE</v>
          </cell>
          <cell r="D2068" t="str">
            <v>İPSALA</v>
          </cell>
          <cell r="H2068" t="str">
            <v>Dağıtım-AG</v>
          </cell>
          <cell r="I2068" t="str">
            <v>Uzun</v>
          </cell>
          <cell r="J2068" t="str">
            <v>Şebeke işletmecisi</v>
          </cell>
          <cell r="K2068" t="str">
            <v>Bildirimsiz</v>
          </cell>
          <cell r="O2068">
            <v>0</v>
          </cell>
          <cell r="P2068">
            <v>0</v>
          </cell>
          <cell r="Q2068">
            <v>0</v>
          </cell>
          <cell r="R2068">
            <v>27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900.90000012656674</v>
          </cell>
          <cell r="Y2068">
            <v>0</v>
          </cell>
          <cell r="Z2068">
            <v>0</v>
          </cell>
        </row>
        <row r="2069">
          <cell r="C2069" t="str">
            <v>EDİRNE</v>
          </cell>
          <cell r="D2069" t="str">
            <v>EDİRNEMERKEZ</v>
          </cell>
          <cell r="H2069" t="str">
            <v>Dağıtım-OG</v>
          </cell>
          <cell r="I2069" t="str">
            <v>Uzun</v>
          </cell>
          <cell r="J2069" t="str">
            <v>Şebeke işletmecisi</v>
          </cell>
          <cell r="K2069" t="str">
            <v>Bildirimsiz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4</v>
          </cell>
          <cell r="T2069">
            <v>307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133.33333336282521</v>
          </cell>
          <cell r="Z2069">
            <v>10233.333335596835</v>
          </cell>
        </row>
        <row r="2070">
          <cell r="C2070" t="str">
            <v>KIRKLARELİ</v>
          </cell>
          <cell r="D2070" t="str">
            <v>LÜLEBURGAZ</v>
          </cell>
          <cell r="H2070" t="str">
            <v>Dağıtım-OG</v>
          </cell>
          <cell r="I2070" t="str">
            <v>Uzun</v>
          </cell>
          <cell r="J2070" t="str">
            <v>Şebeke işletmecisi</v>
          </cell>
          <cell r="K2070" t="str">
            <v>Bildirimsiz</v>
          </cell>
          <cell r="O2070">
            <v>0</v>
          </cell>
          <cell r="P2070">
            <v>47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1566.6666665207595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</row>
        <row r="2071">
          <cell r="C2071" t="str">
            <v>KIRKLARELİ</v>
          </cell>
          <cell r="D2071" t="str">
            <v>KIRKLARELİMERKEZ</v>
          </cell>
          <cell r="H2071" t="str">
            <v>Dağıtım-OG</v>
          </cell>
          <cell r="I2071" t="str">
            <v>Uzun</v>
          </cell>
          <cell r="J2071" t="str">
            <v>Şebeke İşletmecisi</v>
          </cell>
          <cell r="K2071" t="str">
            <v>Bildirimsiz</v>
          </cell>
          <cell r="O2071">
            <v>1</v>
          </cell>
          <cell r="P2071">
            <v>0</v>
          </cell>
          <cell r="Q2071">
            <v>6</v>
          </cell>
          <cell r="R2071">
            <v>165</v>
          </cell>
          <cell r="S2071">
            <v>37</v>
          </cell>
          <cell r="T2071">
            <v>1277</v>
          </cell>
          <cell r="U2071">
            <v>33.283333339495584</v>
          </cell>
          <cell r="V2071">
            <v>0</v>
          </cell>
          <cell r="W2071">
            <v>199.70000003697351</v>
          </cell>
          <cell r="X2071">
            <v>5491.7500010167714</v>
          </cell>
          <cell r="Y2071">
            <v>1231.4833335613366</v>
          </cell>
          <cell r="Z2071">
            <v>42502.816674535861</v>
          </cell>
        </row>
        <row r="2072">
          <cell r="C2072" t="str">
            <v>TEKİRDAĞ</v>
          </cell>
          <cell r="D2072" t="str">
            <v>MARMARAEREĞLİSİ</v>
          </cell>
          <cell r="H2072" t="str">
            <v>Dağıtım-AG</v>
          </cell>
          <cell r="I2072" t="str">
            <v>Uzun</v>
          </cell>
          <cell r="J2072" t="str">
            <v>Şebeke işletmecisi</v>
          </cell>
          <cell r="K2072" t="str">
            <v>Bildirimsiz</v>
          </cell>
          <cell r="O2072">
            <v>0</v>
          </cell>
          <cell r="P2072">
            <v>0</v>
          </cell>
          <cell r="Q2072">
            <v>0</v>
          </cell>
          <cell r="R2072">
            <v>11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365.56666672113352</v>
          </cell>
          <cell r="Y2072">
            <v>0</v>
          </cell>
          <cell r="Z2072">
            <v>0</v>
          </cell>
        </row>
        <row r="2073">
          <cell r="C2073" t="str">
            <v>KIRKLARELİ</v>
          </cell>
          <cell r="D2073" t="str">
            <v>LÜLEBURGAZ</v>
          </cell>
          <cell r="H2073" t="str">
            <v>Dağıtım-AG</v>
          </cell>
          <cell r="I2073" t="str">
            <v>Uzun</v>
          </cell>
          <cell r="J2073" t="str">
            <v>Şebeke işletmecisi</v>
          </cell>
          <cell r="K2073" t="str">
            <v>Bildirimsiz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1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33.216666667722166</v>
          </cell>
        </row>
        <row r="2074">
          <cell r="C2074" t="str">
            <v>TEKİRDAĞ</v>
          </cell>
          <cell r="D2074" t="str">
            <v>MARMARAEREĞLİSİ</v>
          </cell>
          <cell r="H2074" t="str">
            <v>Dağıtım-AG</v>
          </cell>
          <cell r="I2074" t="str">
            <v>Uzun</v>
          </cell>
          <cell r="J2074" t="str">
            <v>Şebeke İşletmecisi</v>
          </cell>
          <cell r="K2074" t="str">
            <v>Bildirimsiz</v>
          </cell>
          <cell r="O2074">
            <v>0</v>
          </cell>
          <cell r="P2074">
            <v>0</v>
          </cell>
          <cell r="Q2074">
            <v>0</v>
          </cell>
          <cell r="R2074">
            <v>11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364.83333333162591</v>
          </cell>
          <cell r="Y2074">
            <v>0</v>
          </cell>
          <cell r="Z2074">
            <v>0</v>
          </cell>
        </row>
        <row r="2075">
          <cell r="C2075" t="str">
            <v>EDİRNE</v>
          </cell>
          <cell r="D2075" t="str">
            <v>UZUNKÖPRÜ</v>
          </cell>
          <cell r="H2075" t="str">
            <v>Dağıtım-AG</v>
          </cell>
          <cell r="I2075" t="str">
            <v>Uzun</v>
          </cell>
          <cell r="J2075" t="str">
            <v>Şebeke işletmecisi</v>
          </cell>
          <cell r="K2075" t="str">
            <v>Bildirimsiz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260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8618.9999989466742</v>
          </cell>
        </row>
        <row r="2076">
          <cell r="C2076" t="str">
            <v>KIRKLARELİ</v>
          </cell>
          <cell r="D2076" t="str">
            <v>DEMİRKÖY</v>
          </cell>
          <cell r="H2076" t="str">
            <v>Dağıtım-OG</v>
          </cell>
          <cell r="I2076" t="str">
            <v>Uzun</v>
          </cell>
          <cell r="J2076" t="str">
            <v>Şebeke İşletmecisi</v>
          </cell>
          <cell r="K2076" t="str">
            <v>Bildirimsiz</v>
          </cell>
          <cell r="O2076">
            <v>0</v>
          </cell>
          <cell r="P2076">
            <v>0</v>
          </cell>
          <cell r="Q2076">
            <v>3</v>
          </cell>
          <cell r="R2076">
            <v>165</v>
          </cell>
          <cell r="S2076">
            <v>8</v>
          </cell>
          <cell r="T2076">
            <v>236</v>
          </cell>
          <cell r="U2076">
            <v>0</v>
          </cell>
          <cell r="V2076">
            <v>0</v>
          </cell>
          <cell r="W2076">
            <v>99.399999976158142</v>
          </cell>
          <cell r="X2076">
            <v>5466.9999986886978</v>
          </cell>
          <cell r="Y2076">
            <v>265.06666660308838</v>
          </cell>
          <cell r="Z2076">
            <v>7819.4666647911072</v>
          </cell>
        </row>
        <row r="2077">
          <cell r="C2077" t="str">
            <v>TEKİRDAĞ</v>
          </cell>
          <cell r="D2077" t="str">
            <v>SÜLEYMANPAŞA</v>
          </cell>
          <cell r="H2077" t="str">
            <v>Dağıtım-AG</v>
          </cell>
          <cell r="I2077" t="str">
            <v>Uzun</v>
          </cell>
          <cell r="J2077" t="str">
            <v>Şebeke işletmecisi</v>
          </cell>
          <cell r="K2077" t="str">
            <v>Bildirimsiz</v>
          </cell>
          <cell r="O2077">
            <v>0</v>
          </cell>
          <cell r="P2077">
            <v>12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397.20000006258488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</row>
        <row r="2078">
          <cell r="C2078" t="str">
            <v>TEKİRDAĞ</v>
          </cell>
          <cell r="D2078" t="str">
            <v>MARMARAEREĞLİSİ</v>
          </cell>
          <cell r="H2078" t="str">
            <v>Dağıtım-AG</v>
          </cell>
          <cell r="I2078" t="str">
            <v>Uzun</v>
          </cell>
          <cell r="J2078" t="str">
            <v>Şebeke işletmecisi</v>
          </cell>
          <cell r="K2078" t="str">
            <v>Bildirimsiz</v>
          </cell>
          <cell r="O2078">
            <v>0</v>
          </cell>
          <cell r="P2078">
            <v>1</v>
          </cell>
          <cell r="Q2078">
            <v>0</v>
          </cell>
          <cell r="R2078">
            <v>46</v>
          </cell>
          <cell r="S2078">
            <v>0</v>
          </cell>
          <cell r="T2078">
            <v>0</v>
          </cell>
          <cell r="U2078">
            <v>0</v>
          </cell>
          <cell r="V2078">
            <v>33.083333334652707</v>
          </cell>
          <cell r="W2078">
            <v>0</v>
          </cell>
          <cell r="X2078">
            <v>1521.8333333940245</v>
          </cell>
          <cell r="Y2078">
            <v>0</v>
          </cell>
          <cell r="Z2078">
            <v>0</v>
          </cell>
        </row>
        <row r="2079">
          <cell r="C2079" t="str">
            <v>KIRKLARELİ</v>
          </cell>
          <cell r="D2079" t="str">
            <v>LÜLEBURGAZ</v>
          </cell>
          <cell r="H2079" t="str">
            <v>Dağıtım-AG</v>
          </cell>
          <cell r="I2079" t="str">
            <v>Uzun</v>
          </cell>
          <cell r="J2079" t="str">
            <v>Şebeke işletmecisi</v>
          </cell>
          <cell r="K2079" t="str">
            <v>Bildirimsiz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3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99.20000002370216</v>
          </cell>
        </row>
        <row r="2080">
          <cell r="C2080" t="str">
            <v>KIRKLARELİ</v>
          </cell>
          <cell r="D2080" t="str">
            <v>DEMİRKÖY</v>
          </cell>
          <cell r="H2080" t="str">
            <v>Dağıtım-AG</v>
          </cell>
          <cell r="I2080" t="str">
            <v>Uzun</v>
          </cell>
          <cell r="J2080" t="str">
            <v>Şebeke işletmecisi</v>
          </cell>
          <cell r="K2080" t="str">
            <v>Bildirimsiz</v>
          </cell>
          <cell r="O2080">
            <v>0</v>
          </cell>
          <cell r="P2080">
            <v>0</v>
          </cell>
          <cell r="Q2080">
            <v>0</v>
          </cell>
          <cell r="R2080">
            <v>33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1088.9999997464474</v>
          </cell>
          <cell r="Y2080">
            <v>0</v>
          </cell>
          <cell r="Z2080">
            <v>0</v>
          </cell>
        </row>
        <row r="2081">
          <cell r="C2081" t="str">
            <v>KIRKLARELİ</v>
          </cell>
          <cell r="D2081" t="str">
            <v>PINARHİSAR</v>
          </cell>
          <cell r="H2081" t="str">
            <v>Dağıtım-OG</v>
          </cell>
          <cell r="I2081" t="str">
            <v>Uzun</v>
          </cell>
          <cell r="J2081" t="str">
            <v>Şebeke işletmecisi</v>
          </cell>
          <cell r="K2081" t="str">
            <v>Bildirimsiz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12</v>
          </cell>
          <cell r="T2081">
            <v>289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395.40000001899898</v>
          </cell>
          <cell r="Z2081">
            <v>9522.5500004575588</v>
          </cell>
        </row>
        <row r="2082">
          <cell r="C2082" t="str">
            <v>TEKİRDAĞ</v>
          </cell>
          <cell r="D2082" t="str">
            <v>MARMARAEREĞLİSİ</v>
          </cell>
          <cell r="H2082" t="str">
            <v>Dağıtım-AG</v>
          </cell>
          <cell r="I2082" t="str">
            <v>Uzun</v>
          </cell>
          <cell r="J2082" t="str">
            <v>Şebeke işletmecisi</v>
          </cell>
          <cell r="K2082" t="str">
            <v>Bildirimsiz</v>
          </cell>
          <cell r="O2082">
            <v>0</v>
          </cell>
          <cell r="P2082">
            <v>56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1844.2666665371507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</row>
        <row r="2083">
          <cell r="C2083" t="str">
            <v>TEKİRDAĞ</v>
          </cell>
          <cell r="D2083" t="str">
            <v>MARMARAEREĞLİSİ</v>
          </cell>
          <cell r="H2083" t="str">
            <v>Dağıtım-AG</v>
          </cell>
          <cell r="I2083" t="str">
            <v>Uzun</v>
          </cell>
          <cell r="J2083" t="str">
            <v>Şebeke işletmecisi</v>
          </cell>
          <cell r="K2083" t="str">
            <v>Bildirimsiz</v>
          </cell>
          <cell r="O2083">
            <v>0</v>
          </cell>
          <cell r="P2083">
            <v>2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65.699999998323619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</row>
        <row r="2084">
          <cell r="C2084" t="str">
            <v>TEKİRDAĞ</v>
          </cell>
          <cell r="D2084" t="str">
            <v>ÇORLU</v>
          </cell>
          <cell r="H2084" t="str">
            <v>Dağıtım-AG</v>
          </cell>
          <cell r="I2084" t="str">
            <v>Uzun</v>
          </cell>
          <cell r="J2084" t="str">
            <v>Şebeke işletmecisi</v>
          </cell>
          <cell r="K2084" t="str">
            <v>Bildirimsiz</v>
          </cell>
          <cell r="O2084">
            <v>0</v>
          </cell>
          <cell r="P2084">
            <v>296</v>
          </cell>
          <cell r="Q2084">
            <v>0</v>
          </cell>
          <cell r="R2084">
            <v>0</v>
          </cell>
          <cell r="S2084">
            <v>0</v>
          </cell>
          <cell r="T2084">
            <v>9</v>
          </cell>
          <cell r="U2084">
            <v>0</v>
          </cell>
          <cell r="V2084">
            <v>9713.7333338800818</v>
          </cell>
          <cell r="W2084">
            <v>0</v>
          </cell>
          <cell r="X2084">
            <v>0</v>
          </cell>
          <cell r="Y2084">
            <v>0</v>
          </cell>
          <cell r="Z2084">
            <v>295.35000001662411</v>
          </cell>
        </row>
        <row r="2085">
          <cell r="C2085" t="str">
            <v>EDİRNE</v>
          </cell>
          <cell r="D2085" t="str">
            <v>EDİRNEMERKEZ</v>
          </cell>
          <cell r="H2085" t="str">
            <v>Dağıtım-AG</v>
          </cell>
          <cell r="I2085" t="str">
            <v>Uzun</v>
          </cell>
          <cell r="J2085" t="str">
            <v>Şebeke işletmecisi</v>
          </cell>
          <cell r="K2085" t="str">
            <v>Bildirimsiz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8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261.8666666932404</v>
          </cell>
        </row>
        <row r="2086">
          <cell r="C2086" t="str">
            <v>TEKİRDAĞ</v>
          </cell>
          <cell r="D2086" t="str">
            <v>MALKARA</v>
          </cell>
          <cell r="H2086" t="str">
            <v>Dağıtım-OG</v>
          </cell>
          <cell r="I2086" t="str">
            <v>Uzun</v>
          </cell>
          <cell r="J2086" t="str">
            <v>Şebeke işletmecisi</v>
          </cell>
          <cell r="K2086" t="str">
            <v>Bildirimsiz</v>
          </cell>
          <cell r="O2086">
            <v>1</v>
          </cell>
          <cell r="P2086">
            <v>0</v>
          </cell>
          <cell r="Q2086">
            <v>0</v>
          </cell>
          <cell r="R2086">
            <v>0</v>
          </cell>
          <cell r="S2086">
            <v>2</v>
          </cell>
          <cell r="T2086">
            <v>0</v>
          </cell>
          <cell r="U2086">
            <v>32.716666666092351</v>
          </cell>
          <cell r="V2086">
            <v>0</v>
          </cell>
          <cell r="W2086">
            <v>0</v>
          </cell>
          <cell r="X2086">
            <v>0</v>
          </cell>
          <cell r="Y2086">
            <v>65.433333332184702</v>
          </cell>
          <cell r="Z2086">
            <v>0</v>
          </cell>
        </row>
        <row r="2087">
          <cell r="C2087" t="str">
            <v>TEKİRDAĞ</v>
          </cell>
          <cell r="D2087" t="str">
            <v>ÇORLU</v>
          </cell>
          <cell r="H2087" t="str">
            <v>Dağıtım-OG</v>
          </cell>
          <cell r="I2087" t="str">
            <v>Uzun</v>
          </cell>
          <cell r="J2087" t="str">
            <v>Şebeke işletmecisi</v>
          </cell>
          <cell r="K2087" t="str">
            <v>Bildirimli</v>
          </cell>
          <cell r="O2087">
            <v>16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523.46666665747762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</row>
        <row r="2088">
          <cell r="C2088" t="str">
            <v>KIRKLARELİ</v>
          </cell>
          <cell r="D2088" t="str">
            <v>KIRKLARELİMERKEZ</v>
          </cell>
          <cell r="H2088" t="str">
            <v>Dağıtım-OG</v>
          </cell>
          <cell r="I2088" t="str">
            <v>Uzun</v>
          </cell>
          <cell r="J2088" t="str">
            <v>Şebeke işletmecisi</v>
          </cell>
          <cell r="K2088" t="str">
            <v>Bildirimsiz</v>
          </cell>
          <cell r="O2088">
            <v>0</v>
          </cell>
          <cell r="P2088">
            <v>308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10071.599998623133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</row>
        <row r="2089">
          <cell r="C2089" t="str">
            <v>KIRKLARELİ</v>
          </cell>
          <cell r="D2089" t="str">
            <v>BABAESKİ</v>
          </cell>
          <cell r="H2089" t="str">
            <v>Dağıtım-AG</v>
          </cell>
          <cell r="I2089" t="str">
            <v>Uzun</v>
          </cell>
          <cell r="J2089" t="str">
            <v>Şebeke işletmecisi</v>
          </cell>
          <cell r="K2089" t="str">
            <v>Bildirimsiz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27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881.10000002430752</v>
          </cell>
        </row>
        <row r="2090">
          <cell r="C2090" t="str">
            <v>TEKİRDAĞ</v>
          </cell>
          <cell r="D2090" t="str">
            <v>SÜLEYMANPAŞA</v>
          </cell>
          <cell r="H2090" t="str">
            <v>Dağıtım-AG</v>
          </cell>
          <cell r="I2090" t="str">
            <v>Uzun</v>
          </cell>
          <cell r="J2090" t="str">
            <v>Şebeke işletmecisi</v>
          </cell>
          <cell r="K2090" t="str">
            <v>Bildirimsiz</v>
          </cell>
          <cell r="O2090">
            <v>0</v>
          </cell>
          <cell r="P2090">
            <v>9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293.70000000810251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</row>
        <row r="2091">
          <cell r="C2091" t="str">
            <v>KIRKLARELİ</v>
          </cell>
          <cell r="D2091" t="str">
            <v>BABAESKİ</v>
          </cell>
          <cell r="H2091" t="str">
            <v>Dağıtım-AG</v>
          </cell>
          <cell r="I2091" t="str">
            <v>Uzun</v>
          </cell>
          <cell r="J2091" t="str">
            <v>Şebeke işletmecisi</v>
          </cell>
          <cell r="K2091" t="str">
            <v>Bildirimsiz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60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1955.9999995864928</v>
          </cell>
        </row>
        <row r="2092">
          <cell r="C2092" t="str">
            <v>TEKİRDAĞ</v>
          </cell>
          <cell r="D2092" t="str">
            <v>ŞARKÖY</v>
          </cell>
          <cell r="H2092" t="str">
            <v>Dağıtım-AG</v>
          </cell>
          <cell r="I2092" t="str">
            <v>Uzun</v>
          </cell>
          <cell r="J2092" t="str">
            <v>Şebeke işletmecisi</v>
          </cell>
          <cell r="K2092" t="str">
            <v>Bildirimsiz</v>
          </cell>
          <cell r="O2092">
            <v>0</v>
          </cell>
          <cell r="P2092">
            <v>0</v>
          </cell>
          <cell r="Q2092">
            <v>0</v>
          </cell>
          <cell r="R2092">
            <v>102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3315.0000001187436</v>
          </cell>
          <cell r="Y2092">
            <v>0</v>
          </cell>
          <cell r="Z2092">
            <v>0</v>
          </cell>
        </row>
        <row r="2093">
          <cell r="C2093" t="str">
            <v>TEKİRDAĞ</v>
          </cell>
          <cell r="D2093" t="str">
            <v>SÜLEYMANPAŞA</v>
          </cell>
          <cell r="H2093" t="str">
            <v>Dağıtım-AG</v>
          </cell>
          <cell r="I2093" t="str">
            <v>Uzun</v>
          </cell>
          <cell r="J2093" t="str">
            <v>Şebeke işletmecisi</v>
          </cell>
          <cell r="K2093" t="str">
            <v>Bildirimsiz</v>
          </cell>
          <cell r="O2093">
            <v>0</v>
          </cell>
          <cell r="P2093">
            <v>32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1036.2666668370366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</row>
        <row r="2094">
          <cell r="C2094" t="str">
            <v>KIRKLARELİ</v>
          </cell>
          <cell r="D2094" t="str">
            <v>VİZE</v>
          </cell>
          <cell r="H2094" t="str">
            <v>Dağıtım-OG</v>
          </cell>
          <cell r="I2094" t="str">
            <v>Uzun</v>
          </cell>
          <cell r="J2094" t="str">
            <v>Şebeke işletmecisi</v>
          </cell>
          <cell r="K2094" t="str">
            <v>Bildirimsiz</v>
          </cell>
          <cell r="O2094">
            <v>0</v>
          </cell>
          <cell r="P2094">
            <v>0</v>
          </cell>
          <cell r="Q2094">
            <v>1</v>
          </cell>
          <cell r="R2094">
            <v>0</v>
          </cell>
          <cell r="S2094">
            <v>23</v>
          </cell>
          <cell r="T2094">
            <v>1323</v>
          </cell>
          <cell r="U2094">
            <v>0</v>
          </cell>
          <cell r="V2094">
            <v>0</v>
          </cell>
          <cell r="W2094">
            <v>32.349999997531995</v>
          </cell>
          <cell r="X2094">
            <v>0</v>
          </cell>
          <cell r="Y2094">
            <v>744.04999994323589</v>
          </cell>
          <cell r="Z2094">
            <v>42799.04999673483</v>
          </cell>
        </row>
        <row r="2095">
          <cell r="C2095" t="str">
            <v>TEKİRDAĞ</v>
          </cell>
          <cell r="D2095" t="str">
            <v>MARMARAEREĞLİSİ</v>
          </cell>
          <cell r="H2095" t="str">
            <v>Dağıtım-AG</v>
          </cell>
          <cell r="I2095" t="str">
            <v>Uzun</v>
          </cell>
          <cell r="J2095" t="str">
            <v>Şebeke işletmecisi</v>
          </cell>
          <cell r="K2095" t="str">
            <v>Bildirimsiz</v>
          </cell>
          <cell r="O2095">
            <v>0</v>
          </cell>
          <cell r="P2095">
            <v>73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2353.0333326919936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</row>
        <row r="2096">
          <cell r="C2096" t="str">
            <v>EDİRNE</v>
          </cell>
          <cell r="D2096" t="str">
            <v>HAVSA</v>
          </cell>
          <cell r="H2096" t="str">
            <v>Dağıtım-AG</v>
          </cell>
          <cell r="I2096" t="str">
            <v>Uzun</v>
          </cell>
          <cell r="J2096" t="str">
            <v>Şebeke işletmecisi</v>
          </cell>
          <cell r="K2096" t="str">
            <v>Bildirimsiz</v>
          </cell>
          <cell r="O2096">
            <v>0</v>
          </cell>
          <cell r="P2096">
            <v>0</v>
          </cell>
          <cell r="Q2096">
            <v>0</v>
          </cell>
          <cell r="R2096">
            <v>21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676.54999995371327</v>
          </cell>
          <cell r="Y2096">
            <v>0</v>
          </cell>
          <cell r="Z2096">
            <v>0</v>
          </cell>
        </row>
        <row r="2097">
          <cell r="C2097" t="str">
            <v>KIRKLARELİ</v>
          </cell>
          <cell r="D2097" t="str">
            <v>LÜLEBURGAZ</v>
          </cell>
          <cell r="H2097" t="str">
            <v>Dağıtım-AG</v>
          </cell>
          <cell r="I2097" t="str">
            <v>Uzun</v>
          </cell>
          <cell r="J2097" t="str">
            <v>Şebeke işletmecisi</v>
          </cell>
          <cell r="K2097" t="str">
            <v>Bildirimsiz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1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32.216666664462537</v>
          </cell>
        </row>
        <row r="2098">
          <cell r="C2098" t="str">
            <v>KIRKLARELİ</v>
          </cell>
          <cell r="D2098" t="str">
            <v>KIRKLARELİMERKEZ</v>
          </cell>
          <cell r="H2098" t="str">
            <v>Dağıtım-OG</v>
          </cell>
          <cell r="I2098" t="str">
            <v>Uzun</v>
          </cell>
          <cell r="J2098" t="str">
            <v>Şebeke işletmecisi</v>
          </cell>
          <cell r="K2098" t="str">
            <v>Bildirimsiz</v>
          </cell>
          <cell r="O2098">
            <v>0</v>
          </cell>
          <cell r="P2098">
            <v>0</v>
          </cell>
          <cell r="Q2098">
            <v>5</v>
          </cell>
          <cell r="R2098">
            <v>0</v>
          </cell>
          <cell r="S2098">
            <v>9</v>
          </cell>
          <cell r="T2098">
            <v>668</v>
          </cell>
          <cell r="U2098">
            <v>0</v>
          </cell>
          <cell r="V2098">
            <v>0</v>
          </cell>
          <cell r="W2098">
            <v>161.08333332231268</v>
          </cell>
          <cell r="X2098">
            <v>0</v>
          </cell>
          <cell r="Y2098">
            <v>289.94999998016283</v>
          </cell>
          <cell r="Z2098">
            <v>21520.733331860974</v>
          </cell>
        </row>
        <row r="2099">
          <cell r="C2099" t="str">
            <v>TEKİRDAĞ</v>
          </cell>
          <cell r="D2099" t="str">
            <v>MURATLI</v>
          </cell>
          <cell r="H2099" t="str">
            <v>Dağıtım-OG</v>
          </cell>
          <cell r="I2099" t="str">
            <v>Uzun</v>
          </cell>
          <cell r="J2099" t="str">
            <v>Şebeke işletmecisi</v>
          </cell>
          <cell r="K2099" t="str">
            <v>Bildirimsiz</v>
          </cell>
          <cell r="O2099">
            <v>9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289.94999998016283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</row>
        <row r="2100">
          <cell r="C2100" t="str">
            <v>TEKİRDAĞ</v>
          </cell>
          <cell r="D2100" t="str">
            <v>KAPAKLI</v>
          </cell>
          <cell r="H2100" t="str">
            <v>Dağıtım-OG</v>
          </cell>
          <cell r="I2100" t="str">
            <v>Uzun</v>
          </cell>
          <cell r="J2100" t="str">
            <v>Şebeke işletmecisi</v>
          </cell>
          <cell r="K2100" t="str">
            <v>Bildirimsiz</v>
          </cell>
          <cell r="O2100">
            <v>3</v>
          </cell>
          <cell r="P2100">
            <v>218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96.55000000144355</v>
          </cell>
          <cell r="V2100">
            <v>7015.9666667715646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</row>
        <row r="2101">
          <cell r="C2101" t="str">
            <v>TEKİRDAĞ</v>
          </cell>
          <cell r="D2101" t="str">
            <v>SÜLEYMANPAŞA</v>
          </cell>
          <cell r="H2101" t="str">
            <v>Dağıtım-OG</v>
          </cell>
          <cell r="I2101" t="str">
            <v>Uzun</v>
          </cell>
          <cell r="J2101" t="str">
            <v>Şebeke işletmecisi</v>
          </cell>
          <cell r="K2101" t="str">
            <v>Bildirimsiz</v>
          </cell>
          <cell r="O2101">
            <v>1</v>
          </cell>
          <cell r="P2101">
            <v>183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32.183333333814517</v>
          </cell>
          <cell r="V2101">
            <v>5889.5500000880565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</row>
        <row r="2102">
          <cell r="C2102" t="str">
            <v>TEKİRDAĞ</v>
          </cell>
          <cell r="D2102" t="str">
            <v>SÜLEYMANPAŞA</v>
          </cell>
          <cell r="H2102" t="str">
            <v>Dağıtım-OG</v>
          </cell>
          <cell r="I2102" t="str">
            <v>Uzun</v>
          </cell>
          <cell r="J2102" t="str">
            <v>Şebeke işletmecisi</v>
          </cell>
          <cell r="K2102" t="str">
            <v>Bildirimsiz</v>
          </cell>
          <cell r="O2102">
            <v>0</v>
          </cell>
          <cell r="P2102">
            <v>366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11772.999998750165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</row>
        <row r="2103">
          <cell r="C2103" t="str">
            <v>TEKİRDAĞ</v>
          </cell>
          <cell r="D2103" t="str">
            <v>MARMARAEREĞLİSİ</v>
          </cell>
          <cell r="H2103" t="str">
            <v>Dağıtım-AG</v>
          </cell>
          <cell r="I2103" t="str">
            <v>Uzun</v>
          </cell>
          <cell r="J2103" t="str">
            <v>Şebeke işletmecisi</v>
          </cell>
          <cell r="K2103" t="str">
            <v>Bildirimsiz</v>
          </cell>
          <cell r="O2103">
            <v>0</v>
          </cell>
          <cell r="P2103">
            <v>34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1091.3999997102655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</row>
        <row r="2104">
          <cell r="C2104" t="str">
            <v>TEKİRDAĞ</v>
          </cell>
          <cell r="D2104" t="str">
            <v>SÜLEYMANPAŞA</v>
          </cell>
          <cell r="H2104" t="str">
            <v>Dağıtım-AG</v>
          </cell>
          <cell r="I2104" t="str">
            <v>Uzun</v>
          </cell>
          <cell r="J2104" t="str">
            <v>Şebeke işletmecisi</v>
          </cell>
          <cell r="K2104" t="str">
            <v>Bildirimsiz</v>
          </cell>
          <cell r="O2104">
            <v>0</v>
          </cell>
          <cell r="P2104">
            <v>10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320.66666660830379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</row>
        <row r="2105">
          <cell r="C2105" t="str">
            <v>TEKİRDAĞ</v>
          </cell>
          <cell r="D2105" t="str">
            <v>ERGENE</v>
          </cell>
          <cell r="H2105" t="str">
            <v>Dağıtım-AG</v>
          </cell>
          <cell r="I2105" t="str">
            <v>Uzun</v>
          </cell>
          <cell r="J2105" t="str">
            <v>Şebeke işletmecisi</v>
          </cell>
          <cell r="K2105" t="str">
            <v>Bildirimsiz</v>
          </cell>
          <cell r="O2105">
            <v>0</v>
          </cell>
          <cell r="P2105">
            <v>3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96.199999982491136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</row>
        <row r="2106">
          <cell r="C2106" t="str">
            <v>EDİRNE</v>
          </cell>
          <cell r="D2106" t="str">
            <v>UZUNKÖPRÜ</v>
          </cell>
          <cell r="H2106" t="str">
            <v>Dağıtım-OG</v>
          </cell>
          <cell r="I2106" t="str">
            <v>Uzun</v>
          </cell>
          <cell r="J2106" t="str">
            <v>Şebeke İşletmecisi</v>
          </cell>
          <cell r="K2106" t="str">
            <v>Bildirimsiz</v>
          </cell>
          <cell r="O2106">
            <v>9</v>
          </cell>
          <cell r="P2106">
            <v>0</v>
          </cell>
          <cell r="Q2106">
            <v>0</v>
          </cell>
          <cell r="R2106">
            <v>0</v>
          </cell>
          <cell r="S2106">
            <v>23</v>
          </cell>
          <cell r="T2106">
            <v>303</v>
          </cell>
          <cell r="U2106">
            <v>288.15000003087334</v>
          </cell>
          <cell r="V2106">
            <v>0</v>
          </cell>
          <cell r="W2106">
            <v>0</v>
          </cell>
          <cell r="X2106">
            <v>0</v>
          </cell>
          <cell r="Y2106">
            <v>736.38333341223188</v>
          </cell>
          <cell r="Z2106">
            <v>9701.0500010394026</v>
          </cell>
        </row>
        <row r="2107">
          <cell r="C2107" t="str">
            <v>TEKİRDAĞ</v>
          </cell>
          <cell r="D2107" t="str">
            <v>SÜLEYMANPAŞA</v>
          </cell>
          <cell r="H2107" t="str">
            <v>Dağıtım-AG</v>
          </cell>
          <cell r="I2107" t="str">
            <v>Uzun</v>
          </cell>
          <cell r="J2107" t="str">
            <v>Şebeke işletmecisi</v>
          </cell>
          <cell r="K2107" t="str">
            <v>Bildirimsiz</v>
          </cell>
          <cell r="O2107">
            <v>0</v>
          </cell>
          <cell r="P2107">
            <v>52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1664.866666845046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</row>
        <row r="2108">
          <cell r="C2108" t="str">
            <v>EDİRNE</v>
          </cell>
          <cell r="D2108" t="str">
            <v>KEŞAN</v>
          </cell>
          <cell r="H2108" t="str">
            <v>Dağıtım-OG</v>
          </cell>
          <cell r="I2108" t="str">
            <v>Uzun</v>
          </cell>
          <cell r="J2108" t="str">
            <v>Şebeke işletmecisi</v>
          </cell>
          <cell r="K2108" t="str">
            <v>Bildirimsiz</v>
          </cell>
          <cell r="O2108">
            <v>0</v>
          </cell>
          <cell r="P2108">
            <v>0</v>
          </cell>
          <cell r="Q2108">
            <v>2</v>
          </cell>
          <cell r="R2108">
            <v>874</v>
          </cell>
          <cell r="S2108">
            <v>1</v>
          </cell>
          <cell r="T2108">
            <v>23</v>
          </cell>
          <cell r="U2108">
            <v>0</v>
          </cell>
          <cell r="V2108">
            <v>0</v>
          </cell>
          <cell r="W2108">
            <v>63.833333335351199</v>
          </cell>
          <cell r="X2108">
            <v>27895.166667548474</v>
          </cell>
          <cell r="Y2108">
            <v>31.916666667675599</v>
          </cell>
          <cell r="Z2108">
            <v>734.08333335653879</v>
          </cell>
        </row>
        <row r="2109">
          <cell r="C2109" t="str">
            <v>EDİRNE</v>
          </cell>
          <cell r="D2109" t="str">
            <v>UZUNKÖPRÜ</v>
          </cell>
          <cell r="H2109" t="str">
            <v>Dağıtım-AG</v>
          </cell>
          <cell r="I2109" t="str">
            <v>Uzun</v>
          </cell>
          <cell r="J2109" t="str">
            <v>Şebeke işletmecisi</v>
          </cell>
          <cell r="K2109" t="str">
            <v>Bildirimsiz</v>
          </cell>
          <cell r="O2109">
            <v>0</v>
          </cell>
          <cell r="P2109">
            <v>0</v>
          </cell>
          <cell r="Q2109">
            <v>0</v>
          </cell>
          <cell r="R2109">
            <v>9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287.24999991478398</v>
          </cell>
          <cell r="Y2109">
            <v>0</v>
          </cell>
          <cell r="Z2109">
            <v>0</v>
          </cell>
        </row>
        <row r="2110">
          <cell r="C2110" t="str">
            <v>TEKİRDAĞ</v>
          </cell>
          <cell r="D2110" t="str">
            <v>ŞARKÖY</v>
          </cell>
          <cell r="H2110" t="str">
            <v>Dağıtım-AG</v>
          </cell>
          <cell r="I2110" t="str">
            <v>Uzun</v>
          </cell>
          <cell r="J2110" t="str">
            <v>Şebeke işletmecisi</v>
          </cell>
          <cell r="K2110" t="str">
            <v>Bildirimsiz</v>
          </cell>
          <cell r="O2110">
            <v>0</v>
          </cell>
          <cell r="P2110">
            <v>0</v>
          </cell>
          <cell r="Q2110">
            <v>0</v>
          </cell>
          <cell r="R2110">
            <v>2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63.600000010337681</v>
          </cell>
          <cell r="Y2110">
            <v>0</v>
          </cell>
          <cell r="Z2110">
            <v>0</v>
          </cell>
        </row>
        <row r="2111">
          <cell r="C2111" t="str">
            <v>KIRKLARELİ</v>
          </cell>
          <cell r="D2111" t="str">
            <v>BABAESKİ</v>
          </cell>
          <cell r="H2111" t="str">
            <v>Dağıtım-AG</v>
          </cell>
          <cell r="I2111" t="str">
            <v>Uzun</v>
          </cell>
          <cell r="J2111" t="str">
            <v>Şebeke işletmecisi</v>
          </cell>
          <cell r="K2111" t="str">
            <v>Bildirimsiz</v>
          </cell>
          <cell r="O2111">
            <v>0</v>
          </cell>
          <cell r="P2111">
            <v>248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7886.3999986834824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</row>
        <row r="2112">
          <cell r="C2112" t="str">
            <v>KIRKLARELİ</v>
          </cell>
          <cell r="D2112" t="str">
            <v>LÜLEBURGAZ</v>
          </cell>
          <cell r="H2112" t="str">
            <v>Dağıtım-AG</v>
          </cell>
          <cell r="I2112" t="str">
            <v>Uzun</v>
          </cell>
          <cell r="J2112" t="str">
            <v>Şebeke işletmecisi</v>
          </cell>
          <cell r="K2112" t="str">
            <v>Bildirimsiz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39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1238.2499997457489</v>
          </cell>
        </row>
        <row r="2113">
          <cell r="C2113" t="str">
            <v>KIRKLARELİ</v>
          </cell>
          <cell r="D2113" t="str">
            <v>KIRKLARELİMERKEZ</v>
          </cell>
          <cell r="H2113" t="str">
            <v>Dağıtım-OG</v>
          </cell>
          <cell r="I2113" t="str">
            <v>Uzun</v>
          </cell>
          <cell r="J2113" t="str">
            <v>Şebeke işletmecisi</v>
          </cell>
          <cell r="K2113" t="str">
            <v>Bildirimsiz</v>
          </cell>
          <cell r="O2113">
            <v>15</v>
          </cell>
          <cell r="P2113">
            <v>178</v>
          </cell>
          <cell r="Q2113">
            <v>1</v>
          </cell>
          <cell r="R2113">
            <v>0</v>
          </cell>
          <cell r="S2113">
            <v>10</v>
          </cell>
          <cell r="T2113">
            <v>4</v>
          </cell>
          <cell r="U2113">
            <v>476.00000000093132</v>
          </cell>
          <cell r="V2113">
            <v>5648.533333344385</v>
          </cell>
          <cell r="W2113">
            <v>31.733333333395422</v>
          </cell>
          <cell r="X2113">
            <v>0</v>
          </cell>
          <cell r="Y2113">
            <v>317.33333333395422</v>
          </cell>
          <cell r="Z2113">
            <v>126.93333333358169</v>
          </cell>
        </row>
        <row r="2114">
          <cell r="C2114" t="str">
            <v>EDİRNE</v>
          </cell>
          <cell r="D2114" t="str">
            <v>HAVSA</v>
          </cell>
          <cell r="H2114" t="str">
            <v>Dağıtım-OG</v>
          </cell>
          <cell r="I2114" t="str">
            <v>Uzun</v>
          </cell>
          <cell r="J2114" t="str">
            <v>Şebeke işletmecisi</v>
          </cell>
          <cell r="K2114" t="str">
            <v>Bildirimsiz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1</v>
          </cell>
          <cell r="T2114">
            <v>151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31.699999992270023</v>
          </cell>
          <cell r="Z2114">
            <v>4786.6999988327734</v>
          </cell>
        </row>
        <row r="2115">
          <cell r="C2115" t="str">
            <v>TEKİRDAĞ</v>
          </cell>
          <cell r="D2115" t="str">
            <v>ŞARKÖY</v>
          </cell>
          <cell r="H2115" t="str">
            <v>Dağıtım-AG</v>
          </cell>
          <cell r="I2115" t="str">
            <v>Uzun</v>
          </cell>
          <cell r="J2115" t="str">
            <v>Şebeke işletmecisi</v>
          </cell>
          <cell r="K2115" t="str">
            <v>Bildirimsiz</v>
          </cell>
          <cell r="O2115">
            <v>0</v>
          </cell>
          <cell r="P2115">
            <v>0</v>
          </cell>
          <cell r="Q2115">
            <v>0</v>
          </cell>
          <cell r="R2115">
            <v>23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725.6499999796506</v>
          </cell>
          <cell r="Y2115">
            <v>0</v>
          </cell>
          <cell r="Z2115">
            <v>0</v>
          </cell>
        </row>
        <row r="2116">
          <cell r="C2116" t="str">
            <v>EDİRNE</v>
          </cell>
          <cell r="D2116" t="str">
            <v>UZUNKÖPRÜ</v>
          </cell>
          <cell r="H2116" t="str">
            <v>Dağıtım-AG</v>
          </cell>
          <cell r="I2116" t="str">
            <v>Uzun</v>
          </cell>
          <cell r="J2116" t="str">
            <v>Şebeke işletmecisi</v>
          </cell>
          <cell r="K2116" t="str">
            <v>Bildirimsiz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135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4257.0000007690396</v>
          </cell>
        </row>
        <row r="2117">
          <cell r="C2117" t="str">
            <v>TEKİRDAĞ</v>
          </cell>
          <cell r="D2117" t="str">
            <v>ÇORLU</v>
          </cell>
          <cell r="H2117" t="str">
            <v>Dağıtım-AG</v>
          </cell>
          <cell r="I2117" t="str">
            <v>Uzun</v>
          </cell>
          <cell r="J2117" t="str">
            <v>Şebeke işletmecisi</v>
          </cell>
          <cell r="K2117" t="str">
            <v>Bildirimsiz</v>
          </cell>
          <cell r="O2117">
            <v>0</v>
          </cell>
          <cell r="P2117">
            <v>69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2174.6499994012993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</row>
        <row r="2118">
          <cell r="C2118" t="str">
            <v>TEKİRDAĞ</v>
          </cell>
          <cell r="D2118" t="str">
            <v>MALKARA</v>
          </cell>
          <cell r="H2118" t="str">
            <v>Dağıtım-OG</v>
          </cell>
          <cell r="I2118" t="str">
            <v>Uzun</v>
          </cell>
          <cell r="J2118" t="str">
            <v>Şebeke İşletmecisi</v>
          </cell>
          <cell r="K2118" t="str">
            <v>Bildirimsiz</v>
          </cell>
          <cell r="O2118">
            <v>1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31.500000008381903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</row>
        <row r="2119">
          <cell r="C2119" t="str">
            <v>EDİRNE</v>
          </cell>
          <cell r="D2119" t="str">
            <v>HAVSA</v>
          </cell>
          <cell r="H2119" t="str">
            <v>Dağıtım-OG</v>
          </cell>
          <cell r="I2119" t="str">
            <v>Uzun</v>
          </cell>
          <cell r="J2119" t="str">
            <v>Şebeke İşletmecisi</v>
          </cell>
          <cell r="K2119" t="str">
            <v>Bildirimsiz</v>
          </cell>
          <cell r="O2119">
            <v>0</v>
          </cell>
          <cell r="P2119">
            <v>0</v>
          </cell>
          <cell r="Q2119">
            <v>4</v>
          </cell>
          <cell r="R2119">
            <v>4</v>
          </cell>
          <cell r="S2119">
            <v>1</v>
          </cell>
          <cell r="T2119">
            <v>0</v>
          </cell>
          <cell r="U2119">
            <v>0</v>
          </cell>
          <cell r="V2119">
            <v>0</v>
          </cell>
          <cell r="W2119">
            <v>125.9999999916181</v>
          </cell>
          <cell r="X2119">
            <v>125.9999999916181</v>
          </cell>
          <cell r="Y2119">
            <v>31.499999997904524</v>
          </cell>
          <cell r="Z2119">
            <v>0</v>
          </cell>
        </row>
        <row r="2120">
          <cell r="C2120" t="str">
            <v>TEKİRDAĞ</v>
          </cell>
          <cell r="D2120" t="str">
            <v>MARMARAEREĞLİSİ</v>
          </cell>
          <cell r="H2120" t="str">
            <v>Dağıtım-AG</v>
          </cell>
          <cell r="I2120" t="str">
            <v>Uzun</v>
          </cell>
          <cell r="J2120" t="str">
            <v>Şebeke işletmecisi</v>
          </cell>
          <cell r="K2120" t="str">
            <v>Bildirimsiz</v>
          </cell>
          <cell r="O2120">
            <v>0</v>
          </cell>
          <cell r="P2120">
            <v>0</v>
          </cell>
          <cell r="Q2120">
            <v>0</v>
          </cell>
          <cell r="R2120">
            <v>19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597.2333333955612</v>
          </cell>
          <cell r="Y2120">
            <v>0</v>
          </cell>
          <cell r="Z2120">
            <v>0</v>
          </cell>
        </row>
        <row r="2121">
          <cell r="C2121" t="str">
            <v>TEKİRDAĞ</v>
          </cell>
          <cell r="D2121" t="str">
            <v>SÜLEYMANPAŞA</v>
          </cell>
          <cell r="H2121" t="str">
            <v>Dağıtım-AG</v>
          </cell>
          <cell r="I2121" t="str">
            <v>Uzun</v>
          </cell>
          <cell r="J2121" t="str">
            <v>Şebeke işletmecisi</v>
          </cell>
          <cell r="K2121" t="str">
            <v>Bildirimsiz</v>
          </cell>
          <cell r="O2121">
            <v>0</v>
          </cell>
          <cell r="P2121">
            <v>10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313.83333335397765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</row>
        <row r="2122">
          <cell r="C2122" t="str">
            <v>TEKİRDAĞ</v>
          </cell>
          <cell r="D2122" t="str">
            <v>HAYRABOLU</v>
          </cell>
          <cell r="H2122" t="str">
            <v>Dağıtım-OG</v>
          </cell>
          <cell r="I2122" t="str">
            <v>Uzun</v>
          </cell>
          <cell r="J2122" t="str">
            <v>Şebeke işletmecisi</v>
          </cell>
          <cell r="K2122" t="str">
            <v>Bildirimsiz</v>
          </cell>
          <cell r="O2122">
            <v>0</v>
          </cell>
          <cell r="P2122">
            <v>1</v>
          </cell>
          <cell r="Q2122">
            <v>0</v>
          </cell>
          <cell r="R2122">
            <v>0</v>
          </cell>
          <cell r="S2122">
            <v>0</v>
          </cell>
          <cell r="T2122">
            <v>500</v>
          </cell>
          <cell r="U2122">
            <v>0</v>
          </cell>
          <cell r="V2122">
            <v>31.266666672891006</v>
          </cell>
          <cell r="W2122">
            <v>0</v>
          </cell>
          <cell r="X2122">
            <v>0</v>
          </cell>
          <cell r="Y2122">
            <v>0</v>
          </cell>
          <cell r="Z2122">
            <v>15633.333336445503</v>
          </cell>
        </row>
        <row r="2123">
          <cell r="C2123" t="str">
            <v>EDİRNE</v>
          </cell>
          <cell r="D2123" t="str">
            <v>ENEZ</v>
          </cell>
          <cell r="H2123" t="str">
            <v>Dağıtım-AG</v>
          </cell>
          <cell r="I2123" t="str">
            <v>Uzun</v>
          </cell>
          <cell r="J2123" t="str">
            <v>Şebeke işletmecisi</v>
          </cell>
          <cell r="K2123" t="str">
            <v>Bildirimsiz</v>
          </cell>
          <cell r="O2123">
            <v>0</v>
          </cell>
          <cell r="P2123">
            <v>0</v>
          </cell>
          <cell r="Q2123">
            <v>0</v>
          </cell>
          <cell r="R2123">
            <v>3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93.699999995296821</v>
          </cell>
          <cell r="Y2123">
            <v>0</v>
          </cell>
          <cell r="Z2123">
            <v>0</v>
          </cell>
        </row>
        <row r="2124">
          <cell r="C2124" t="str">
            <v>TEKİRDAĞ</v>
          </cell>
          <cell r="D2124" t="str">
            <v>KAPAKLI</v>
          </cell>
          <cell r="H2124" t="str">
            <v>Dağıtım-AG</v>
          </cell>
          <cell r="I2124" t="str">
            <v>Uzun</v>
          </cell>
          <cell r="J2124" t="str">
            <v>Şebeke işletmecisi</v>
          </cell>
          <cell r="K2124" t="str">
            <v>Bildirimsiz</v>
          </cell>
          <cell r="O2124">
            <v>0</v>
          </cell>
          <cell r="P2124">
            <v>4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124.80000000447035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</row>
        <row r="2125">
          <cell r="C2125" t="str">
            <v>KIRKLARELİ</v>
          </cell>
          <cell r="D2125" t="str">
            <v>KIRKLARELİMERKEZ</v>
          </cell>
          <cell r="H2125" t="str">
            <v>Dağıtım-OG</v>
          </cell>
          <cell r="I2125" t="str">
            <v>Uzun</v>
          </cell>
          <cell r="J2125" t="str">
            <v>Şebeke işletmecisi</v>
          </cell>
          <cell r="K2125" t="str">
            <v>Bildirimli</v>
          </cell>
          <cell r="O2125">
            <v>0</v>
          </cell>
          <cell r="P2125">
            <v>105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3268.9999995811377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</row>
        <row r="2126">
          <cell r="C2126" t="str">
            <v>TEKİRDAĞ</v>
          </cell>
          <cell r="D2126" t="str">
            <v>MARMARAEREĞLİSİ</v>
          </cell>
          <cell r="H2126" t="str">
            <v>Dağıtım-AG</v>
          </cell>
          <cell r="I2126" t="str">
            <v>Uzun</v>
          </cell>
          <cell r="J2126" t="str">
            <v>Şebeke işletmecisi</v>
          </cell>
          <cell r="K2126" t="str">
            <v>Bildirimsiz</v>
          </cell>
          <cell r="O2126">
            <v>0</v>
          </cell>
          <cell r="P2126">
            <v>65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2021.4999999152496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</row>
        <row r="2127">
          <cell r="C2127" t="str">
            <v>TEKİRDAĞ</v>
          </cell>
          <cell r="D2127" t="str">
            <v>SÜLEYMANPAŞA</v>
          </cell>
          <cell r="H2127" t="str">
            <v>Dağıtım-AG</v>
          </cell>
          <cell r="I2127" t="str">
            <v>Uzun</v>
          </cell>
          <cell r="J2127" t="str">
            <v>Şebeke işletmecisi</v>
          </cell>
          <cell r="K2127" t="str">
            <v>Bildirimsiz</v>
          </cell>
          <cell r="O2127">
            <v>0</v>
          </cell>
          <cell r="P2127">
            <v>326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10138.599999574944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</row>
        <row r="2128">
          <cell r="C2128" t="str">
            <v>KIRKLARELİ</v>
          </cell>
          <cell r="D2128" t="str">
            <v>KIRKLARELİMERKEZ</v>
          </cell>
          <cell r="H2128" t="str">
            <v>Dağıtım-OG</v>
          </cell>
          <cell r="I2128" t="str">
            <v>Uzun</v>
          </cell>
          <cell r="J2128" t="str">
            <v>Şebeke işletmecisi</v>
          </cell>
          <cell r="K2128" t="str">
            <v>Bildirimsiz</v>
          </cell>
          <cell r="O2128">
            <v>15</v>
          </cell>
          <cell r="P2128">
            <v>178</v>
          </cell>
          <cell r="Q2128">
            <v>1</v>
          </cell>
          <cell r="R2128">
            <v>0</v>
          </cell>
          <cell r="S2128">
            <v>10</v>
          </cell>
          <cell r="T2128">
            <v>4</v>
          </cell>
          <cell r="U2128">
            <v>466.00000002072193</v>
          </cell>
          <cell r="V2128">
            <v>5529.8666669125669</v>
          </cell>
          <cell r="W2128">
            <v>31.066666668048128</v>
          </cell>
          <cell r="X2128">
            <v>0</v>
          </cell>
          <cell r="Y2128">
            <v>310.66666668048128</v>
          </cell>
          <cell r="Z2128">
            <v>124.26666667219251</v>
          </cell>
        </row>
        <row r="2129">
          <cell r="C2129" t="str">
            <v>KIRKLARELİ</v>
          </cell>
          <cell r="D2129" t="str">
            <v>BABAESKİ</v>
          </cell>
          <cell r="H2129" t="str">
            <v>Dağıtım-AG</v>
          </cell>
          <cell r="I2129" t="str">
            <v>Uzun</v>
          </cell>
          <cell r="J2129" t="str">
            <v>Şebeke işletmecisi</v>
          </cell>
          <cell r="K2129" t="str">
            <v>Bildirimsiz</v>
          </cell>
          <cell r="O2129">
            <v>0</v>
          </cell>
          <cell r="P2129">
            <v>18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558.59999988460913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</row>
        <row r="2130">
          <cell r="C2130" t="str">
            <v>KIRKLARELİ</v>
          </cell>
          <cell r="D2130" t="str">
            <v>KIRKLARELİMERKEZ</v>
          </cell>
          <cell r="H2130" t="str">
            <v>Dağıtım-OG</v>
          </cell>
          <cell r="I2130" t="str">
            <v>Uzun</v>
          </cell>
          <cell r="J2130" t="str">
            <v>Şebeke işletmecisi</v>
          </cell>
          <cell r="K2130" t="str">
            <v>Bildirimli</v>
          </cell>
          <cell r="O2130">
            <v>0</v>
          </cell>
          <cell r="P2130">
            <v>475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14701.249997655395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</row>
        <row r="2131">
          <cell r="C2131" t="str">
            <v>TEKİRDAĞ</v>
          </cell>
          <cell r="D2131" t="str">
            <v>SÜLEYMANPAŞA</v>
          </cell>
          <cell r="H2131" t="str">
            <v>Dağıtım-AG</v>
          </cell>
          <cell r="I2131" t="str">
            <v>Uzun</v>
          </cell>
          <cell r="J2131" t="str">
            <v>Şebeke işletmecisi</v>
          </cell>
          <cell r="K2131" t="str">
            <v>Bildirimsiz</v>
          </cell>
          <cell r="O2131">
            <v>0</v>
          </cell>
          <cell r="P2131">
            <v>18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556.49999995948747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</row>
        <row r="2132">
          <cell r="C2132" t="str">
            <v>EDİRNE</v>
          </cell>
          <cell r="D2132" t="str">
            <v>UZUNKÖPRÜ</v>
          </cell>
          <cell r="H2132" t="str">
            <v>Dağıtım-OG</v>
          </cell>
          <cell r="I2132" t="str">
            <v>Uzun</v>
          </cell>
          <cell r="J2132" t="str">
            <v>Şebeke işletmecisi</v>
          </cell>
          <cell r="K2132" t="str">
            <v>Bildirimsiz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2</v>
          </cell>
          <cell r="T2132">
            <v>177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61.766666667535901</v>
          </cell>
          <cell r="Z2132">
            <v>5466.3500000769272</v>
          </cell>
        </row>
        <row r="2133">
          <cell r="C2133" t="str">
            <v>TEKİRDAĞ</v>
          </cell>
          <cell r="D2133" t="str">
            <v>SÜLEYMANPAŞA</v>
          </cell>
          <cell r="H2133" t="str">
            <v>Dağıtım-OG</v>
          </cell>
          <cell r="I2133" t="str">
            <v>Uzun</v>
          </cell>
          <cell r="J2133" t="str">
            <v>Şebeke işletmecisi</v>
          </cell>
          <cell r="K2133" t="str">
            <v>Bildirimsiz</v>
          </cell>
          <cell r="O2133">
            <v>2</v>
          </cell>
          <cell r="P2133">
            <v>6709</v>
          </cell>
          <cell r="Q2133">
            <v>0</v>
          </cell>
          <cell r="R2133">
            <v>9</v>
          </cell>
          <cell r="S2133">
            <v>0</v>
          </cell>
          <cell r="T2133">
            <v>0</v>
          </cell>
          <cell r="U2133">
            <v>61.733333326410502</v>
          </cell>
          <cell r="V2133">
            <v>207084.46664344403</v>
          </cell>
          <cell r="W2133">
            <v>0</v>
          </cell>
          <cell r="X2133">
            <v>277.79999996884726</v>
          </cell>
          <cell r="Y2133">
            <v>0</v>
          </cell>
          <cell r="Z2133">
            <v>0</v>
          </cell>
        </row>
        <row r="2134">
          <cell r="C2134" t="str">
            <v>KIRKLARELİ</v>
          </cell>
          <cell r="D2134" t="str">
            <v>BABAESKİ</v>
          </cell>
          <cell r="H2134" t="str">
            <v>Dağıtım-OG</v>
          </cell>
          <cell r="I2134" t="str">
            <v>Uzun</v>
          </cell>
          <cell r="J2134" t="str">
            <v>Şebeke İşletmecisi</v>
          </cell>
          <cell r="K2134" t="str">
            <v>Bildirimsiz</v>
          </cell>
          <cell r="O2134">
            <v>0</v>
          </cell>
          <cell r="P2134">
            <v>704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21718.400002196431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</row>
        <row r="2135">
          <cell r="C2135" t="str">
            <v>TEKİRDAĞ</v>
          </cell>
          <cell r="D2135" t="str">
            <v>MARMARAEREĞLİSİ</v>
          </cell>
          <cell r="H2135" t="str">
            <v>Dağıtım-OG</v>
          </cell>
          <cell r="I2135" t="str">
            <v>Uzun</v>
          </cell>
          <cell r="J2135" t="str">
            <v>Şebeke işletmecisi</v>
          </cell>
          <cell r="K2135" t="str">
            <v>Bildirimsiz</v>
          </cell>
          <cell r="O2135">
            <v>0</v>
          </cell>
          <cell r="P2135">
            <v>2</v>
          </cell>
          <cell r="Q2135">
            <v>3</v>
          </cell>
          <cell r="R2135">
            <v>1058</v>
          </cell>
          <cell r="S2135">
            <v>0</v>
          </cell>
          <cell r="T2135">
            <v>0</v>
          </cell>
          <cell r="U2135">
            <v>0</v>
          </cell>
          <cell r="V2135">
            <v>61.666666665114462</v>
          </cell>
          <cell r="W2135">
            <v>92.499999997671694</v>
          </cell>
          <cell r="X2135">
            <v>32621.666665845551</v>
          </cell>
          <cell r="Y2135">
            <v>0</v>
          </cell>
          <cell r="Z2135">
            <v>0</v>
          </cell>
        </row>
        <row r="2136">
          <cell r="C2136" t="str">
            <v>EDİRNE</v>
          </cell>
          <cell r="D2136" t="str">
            <v>ENEZ</v>
          </cell>
          <cell r="H2136" t="str">
            <v>Dağıtım-OG</v>
          </cell>
          <cell r="I2136" t="str">
            <v>Uzun</v>
          </cell>
          <cell r="J2136" t="str">
            <v>Şebeke İşletmecisi</v>
          </cell>
          <cell r="K2136" t="str">
            <v>Bildirimsiz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1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30.816666661994532</v>
          </cell>
          <cell r="Z2136">
            <v>0</v>
          </cell>
        </row>
        <row r="2137">
          <cell r="C2137" t="str">
            <v>KIRKLARELİ</v>
          </cell>
          <cell r="D2137" t="str">
            <v>KOFÇAZ</v>
          </cell>
          <cell r="H2137" t="str">
            <v>Dağıtım-AG</v>
          </cell>
          <cell r="I2137" t="str">
            <v>Uzun</v>
          </cell>
          <cell r="J2137" t="str">
            <v>Şebeke işletmecisi</v>
          </cell>
          <cell r="K2137" t="str">
            <v>Bildirimsiz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5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153.99999995715916</v>
          </cell>
        </row>
        <row r="2138">
          <cell r="C2138" t="str">
            <v>KIRKLARELİ</v>
          </cell>
          <cell r="D2138" t="str">
            <v>PINARHİSAR</v>
          </cell>
          <cell r="H2138" t="str">
            <v>Dağıtım-AG</v>
          </cell>
          <cell r="I2138" t="str">
            <v>Uzun</v>
          </cell>
          <cell r="J2138" t="str">
            <v>Şebeke işletmecisi</v>
          </cell>
          <cell r="K2138" t="str">
            <v>Bildirimsiz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86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2640.1999999559484</v>
          </cell>
        </row>
        <row r="2139">
          <cell r="C2139" t="str">
            <v>EDİRNE</v>
          </cell>
          <cell r="D2139" t="str">
            <v>KEŞAN</v>
          </cell>
          <cell r="H2139" t="str">
            <v>Dağıtım-OG</v>
          </cell>
          <cell r="I2139" t="str">
            <v>Uzun</v>
          </cell>
          <cell r="J2139" t="str">
            <v>Şebeke İşletmecisi</v>
          </cell>
          <cell r="K2139" t="str">
            <v>Bildirimsiz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20</v>
          </cell>
          <cell r="T2139">
            <v>354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613.99999998975545</v>
          </cell>
          <cell r="Z2139">
            <v>10867.799999818671</v>
          </cell>
        </row>
        <row r="2140">
          <cell r="C2140" t="str">
            <v>TEKİRDAĞ</v>
          </cell>
          <cell r="D2140" t="str">
            <v>HAYRABOLU</v>
          </cell>
          <cell r="H2140" t="str">
            <v>Dağıtım-OG</v>
          </cell>
          <cell r="I2140" t="str">
            <v>Uzun</v>
          </cell>
          <cell r="J2140" t="str">
            <v>Şebeke işletmecisi</v>
          </cell>
          <cell r="K2140" t="str">
            <v>Bildirimli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1</v>
          </cell>
          <cell r="T2140">
            <v>157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30.583333336981013</v>
          </cell>
          <cell r="Z2140">
            <v>4801.5833339060191</v>
          </cell>
        </row>
        <row r="2141">
          <cell r="C2141" t="str">
            <v>TEKİRDAĞ</v>
          </cell>
          <cell r="D2141" t="str">
            <v>SÜLEYMANPAŞA</v>
          </cell>
          <cell r="H2141" t="str">
            <v>Dağıtım-AG</v>
          </cell>
          <cell r="I2141" t="str">
            <v>Uzun</v>
          </cell>
          <cell r="J2141" t="str">
            <v>Şebeke işletmecisi</v>
          </cell>
          <cell r="K2141" t="str">
            <v>Bildirimsiz</v>
          </cell>
          <cell r="O2141">
            <v>0</v>
          </cell>
          <cell r="P2141">
            <v>14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427.23333331290632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</row>
        <row r="2142">
          <cell r="C2142" t="str">
            <v>EDİRNE</v>
          </cell>
          <cell r="D2142" t="str">
            <v>UZUNKÖPRÜ</v>
          </cell>
          <cell r="H2142" t="str">
            <v>Dağıtım-AG</v>
          </cell>
          <cell r="I2142" t="str">
            <v>Uzun</v>
          </cell>
          <cell r="J2142" t="str">
            <v>Şebeke işletmecisi</v>
          </cell>
          <cell r="K2142" t="str">
            <v>Bildirimsiz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1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30.500000005122274</v>
          </cell>
        </row>
        <row r="2143">
          <cell r="C2143" t="str">
            <v>TEKİRDAĞ</v>
          </cell>
          <cell r="D2143" t="str">
            <v>MARMARAEREĞLİSİ</v>
          </cell>
          <cell r="H2143" t="str">
            <v>Dağıtım-AG</v>
          </cell>
          <cell r="I2143" t="str">
            <v>Uzun</v>
          </cell>
          <cell r="J2143" t="str">
            <v>Şebeke işletmecisi</v>
          </cell>
          <cell r="K2143" t="str">
            <v>Bildirimsiz</v>
          </cell>
          <cell r="O2143">
            <v>0</v>
          </cell>
          <cell r="P2143">
            <v>0</v>
          </cell>
          <cell r="Q2143">
            <v>0</v>
          </cell>
          <cell r="R2143">
            <v>3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91.500000015366822</v>
          </cell>
          <cell r="Y2143">
            <v>0</v>
          </cell>
          <cell r="Z2143">
            <v>0</v>
          </cell>
        </row>
        <row r="2144">
          <cell r="C2144" t="str">
            <v>TEKİRDAĞ</v>
          </cell>
          <cell r="D2144" t="str">
            <v>ERGENE</v>
          </cell>
          <cell r="H2144" t="str">
            <v>Dağıtım-OG</v>
          </cell>
          <cell r="I2144" t="str">
            <v>Uzun</v>
          </cell>
          <cell r="J2144" t="str">
            <v>Şebeke işletmecisi</v>
          </cell>
          <cell r="K2144" t="str">
            <v>Bildirimsiz</v>
          </cell>
          <cell r="O2144">
            <v>0</v>
          </cell>
          <cell r="P2144">
            <v>987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30004.800002665725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</row>
        <row r="2145">
          <cell r="C2145" t="str">
            <v>EDİRNE</v>
          </cell>
          <cell r="D2145" t="str">
            <v>UZUNKÖPRÜ</v>
          </cell>
          <cell r="H2145" t="str">
            <v>Dağıtım-AG</v>
          </cell>
          <cell r="I2145" t="str">
            <v>Uzun</v>
          </cell>
          <cell r="J2145" t="str">
            <v>Şebeke işletmecisi</v>
          </cell>
          <cell r="K2145" t="str">
            <v>Bildirimsiz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17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516.51666664634831</v>
          </cell>
        </row>
        <row r="2146">
          <cell r="C2146" t="str">
            <v>EDİRNE</v>
          </cell>
          <cell r="D2146" t="str">
            <v>HAVSA</v>
          </cell>
          <cell r="H2146" t="str">
            <v>Dağıtım-AG</v>
          </cell>
          <cell r="I2146" t="str">
            <v>Uzun</v>
          </cell>
          <cell r="J2146" t="str">
            <v>Şebeke işletmecisi</v>
          </cell>
          <cell r="K2146" t="str">
            <v>Bildirimsiz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54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1636.2000000150874</v>
          </cell>
        </row>
        <row r="2147">
          <cell r="C2147" t="str">
            <v>TEKİRDAĞ</v>
          </cell>
          <cell r="D2147" t="str">
            <v>ŞARKÖY</v>
          </cell>
          <cell r="H2147" t="str">
            <v>Dağıtım-OG</v>
          </cell>
          <cell r="I2147" t="str">
            <v>Uzun</v>
          </cell>
          <cell r="J2147" t="str">
            <v>Şebeke işletmecisi</v>
          </cell>
          <cell r="K2147" t="str">
            <v>Bildirimsiz</v>
          </cell>
          <cell r="O2147">
            <v>2</v>
          </cell>
          <cell r="P2147">
            <v>435</v>
          </cell>
          <cell r="Q2147">
            <v>3</v>
          </cell>
          <cell r="R2147">
            <v>7927</v>
          </cell>
          <cell r="S2147">
            <v>13</v>
          </cell>
          <cell r="T2147">
            <v>5106</v>
          </cell>
          <cell r="U2147">
            <v>60.499999998137355</v>
          </cell>
          <cell r="V2147">
            <v>13158.749999594875</v>
          </cell>
          <cell r="W2147">
            <v>90.749999997206032</v>
          </cell>
          <cell r="X2147">
            <v>239791.74999261741</v>
          </cell>
          <cell r="Y2147">
            <v>393.24999998789281</v>
          </cell>
          <cell r="Z2147">
            <v>154456.49999524467</v>
          </cell>
        </row>
        <row r="2148">
          <cell r="C2148" t="str">
            <v>TEKİRDAĞ</v>
          </cell>
          <cell r="D2148" t="str">
            <v>SÜLEYMANPAŞA</v>
          </cell>
          <cell r="H2148" t="str">
            <v>Dağıtım-AG</v>
          </cell>
          <cell r="I2148" t="str">
            <v>Uzun</v>
          </cell>
          <cell r="J2148" t="str">
            <v>Şebeke işletmecisi</v>
          </cell>
          <cell r="K2148" t="str">
            <v>Bildirimsiz</v>
          </cell>
          <cell r="O2148">
            <v>0</v>
          </cell>
          <cell r="P2148">
            <v>2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60.366666675545275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</row>
        <row r="2149">
          <cell r="C2149" t="str">
            <v>EDİRNE</v>
          </cell>
          <cell r="D2149" t="str">
            <v>HAVSA</v>
          </cell>
          <cell r="H2149" t="str">
            <v>Dağıtım-AG</v>
          </cell>
          <cell r="I2149" t="str">
            <v>Uzun</v>
          </cell>
          <cell r="J2149" t="str">
            <v>Şebeke işletmecisi</v>
          </cell>
          <cell r="K2149" t="str">
            <v>Bildirimsiz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20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602.33333331998438</v>
          </cell>
        </row>
        <row r="2150">
          <cell r="C2150" t="str">
            <v>TEKİRDAĞ</v>
          </cell>
          <cell r="D2150" t="str">
            <v>MARMARAEREĞLİSİ</v>
          </cell>
          <cell r="H2150" t="str">
            <v>Dağıtım-AG</v>
          </cell>
          <cell r="I2150" t="str">
            <v>Uzun</v>
          </cell>
          <cell r="J2150" t="str">
            <v>Şebeke işletmecisi</v>
          </cell>
          <cell r="K2150" t="str">
            <v>Bildirimsiz</v>
          </cell>
          <cell r="O2150">
            <v>0</v>
          </cell>
          <cell r="P2150">
            <v>6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180.60000003548339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</row>
        <row r="2151">
          <cell r="C2151" t="str">
            <v>KIRKLARELİ</v>
          </cell>
          <cell r="D2151" t="str">
            <v>VİZE</v>
          </cell>
          <cell r="H2151" t="str">
            <v>Dağıtım-AG</v>
          </cell>
          <cell r="I2151" t="str">
            <v>Uzun</v>
          </cell>
          <cell r="J2151" t="str">
            <v>Şebeke işletmecisi</v>
          </cell>
          <cell r="K2151" t="str">
            <v>Bildirimsiz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110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3307.3333331267349</v>
          </cell>
        </row>
        <row r="2152">
          <cell r="C2152" t="str">
            <v>KIRKLARELİ</v>
          </cell>
          <cell r="D2152" t="str">
            <v>PINARHİSAR</v>
          </cell>
          <cell r="H2152" t="str">
            <v>Dağıtım-OG</v>
          </cell>
          <cell r="I2152" t="str">
            <v>Uzun</v>
          </cell>
          <cell r="J2152" t="str">
            <v>Şebeke İşletmecisi</v>
          </cell>
          <cell r="K2152" t="str">
            <v>Bildirimsiz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12</v>
          </cell>
          <cell r="T2152">
            <v>289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360.60000005643815</v>
          </cell>
          <cell r="Z2152">
            <v>8684.4500013592187</v>
          </cell>
        </row>
        <row r="2153">
          <cell r="C2153" t="str">
            <v>TEKİRDAĞ</v>
          </cell>
          <cell r="D2153" t="str">
            <v>MARMARAEREĞLİSİ</v>
          </cell>
          <cell r="H2153" t="str">
            <v>Dağıtım-AG</v>
          </cell>
          <cell r="I2153" t="str">
            <v>Uzun</v>
          </cell>
          <cell r="J2153" t="str">
            <v>Şebeke işletmecisi</v>
          </cell>
          <cell r="K2153" t="str">
            <v>Bildirimsiz</v>
          </cell>
          <cell r="O2153">
            <v>0</v>
          </cell>
          <cell r="P2153">
            <v>5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150.1666666707024</v>
          </cell>
          <cell r="W2153">
            <v>0</v>
          </cell>
          <cell r="X2153">
            <v>0</v>
          </cell>
          <cell r="Y2153">
            <v>0</v>
          </cell>
          <cell r="Z2153">
            <v>0</v>
          </cell>
        </row>
        <row r="2154">
          <cell r="C2154" t="str">
            <v>EDİRNE</v>
          </cell>
          <cell r="D2154" t="str">
            <v>KEŞAN</v>
          </cell>
          <cell r="H2154" t="str">
            <v>Dağıtım-AG</v>
          </cell>
          <cell r="I2154" t="str">
            <v>Uzun</v>
          </cell>
          <cell r="J2154" t="str">
            <v>Şebeke işletmecisi</v>
          </cell>
          <cell r="K2154" t="str">
            <v>Bildirimsiz</v>
          </cell>
          <cell r="O2154">
            <v>0</v>
          </cell>
          <cell r="P2154">
            <v>50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1500.833333702758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</row>
        <row r="2155">
          <cell r="C2155" t="str">
            <v>TEKİRDAĞ</v>
          </cell>
          <cell r="D2155" t="str">
            <v>MARMARAEREĞLİSİ</v>
          </cell>
          <cell r="H2155" t="str">
            <v>Dağıtım-AG</v>
          </cell>
          <cell r="I2155" t="str">
            <v>Uzun</v>
          </cell>
          <cell r="J2155" t="str">
            <v>Şebeke işletmecisi</v>
          </cell>
          <cell r="K2155" t="str">
            <v>Bildirimsiz</v>
          </cell>
          <cell r="O2155">
            <v>0</v>
          </cell>
          <cell r="P2155">
            <v>8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240.13333330862224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</row>
        <row r="2156">
          <cell r="C2156" t="str">
            <v>EDİRNE</v>
          </cell>
          <cell r="D2156" t="str">
            <v>EDİRNEMERKEZ</v>
          </cell>
          <cell r="H2156" t="str">
            <v>Dağıtım-AG</v>
          </cell>
          <cell r="I2156" t="str">
            <v>Uzun</v>
          </cell>
          <cell r="J2156" t="str">
            <v>Şebeke işletmecisi</v>
          </cell>
          <cell r="K2156" t="str">
            <v>Bildirimsiz</v>
          </cell>
          <cell r="O2156">
            <v>0</v>
          </cell>
          <cell r="P2156">
            <v>4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120.00000001396984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</row>
        <row r="2157">
          <cell r="C2157" t="str">
            <v>EDİRNE</v>
          </cell>
          <cell r="D2157" t="str">
            <v>EDİRNEMERKEZ</v>
          </cell>
          <cell r="H2157" t="str">
            <v>Dağıtım-AG</v>
          </cell>
          <cell r="I2157" t="str">
            <v>Uzun</v>
          </cell>
          <cell r="J2157" t="str">
            <v>Şebeke işletmecisi</v>
          </cell>
          <cell r="K2157" t="str">
            <v>Bildirimsiz</v>
          </cell>
          <cell r="O2157">
            <v>0</v>
          </cell>
          <cell r="P2157">
            <v>7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210.00000002444722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</row>
        <row r="2158">
          <cell r="C2158" t="str">
            <v>TEKİRDAĞ</v>
          </cell>
          <cell r="D2158" t="str">
            <v>SARAY</v>
          </cell>
          <cell r="H2158" t="str">
            <v>Dağıtım-OG</v>
          </cell>
          <cell r="I2158" t="str">
            <v>Uzun</v>
          </cell>
          <cell r="J2158" t="str">
            <v>Şebeke işletmecisi</v>
          </cell>
          <cell r="K2158" t="str">
            <v>Bildirimsiz</v>
          </cell>
          <cell r="O2158">
            <v>0</v>
          </cell>
          <cell r="P2158">
            <v>0</v>
          </cell>
          <cell r="Q2158">
            <v>2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59.999999986030161</v>
          </cell>
          <cell r="X2158">
            <v>0</v>
          </cell>
          <cell r="Y2158">
            <v>0</v>
          </cell>
          <cell r="Z2158">
            <v>0</v>
          </cell>
        </row>
        <row r="2159">
          <cell r="C2159" t="str">
            <v>KIRKLARELİ</v>
          </cell>
          <cell r="D2159" t="str">
            <v>KIRKLARELİMERKEZ</v>
          </cell>
          <cell r="H2159" t="str">
            <v>Dağıtım-AG</v>
          </cell>
          <cell r="I2159" t="str">
            <v>Uzun</v>
          </cell>
          <cell r="J2159" t="str">
            <v>Şebeke işletmecisi</v>
          </cell>
          <cell r="K2159" t="str">
            <v>Bildirimsiz</v>
          </cell>
          <cell r="O2159">
            <v>0</v>
          </cell>
          <cell r="P2159">
            <v>325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9749.9999977299012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</row>
        <row r="2160">
          <cell r="C2160" t="str">
            <v>KIRKLARELİ</v>
          </cell>
          <cell r="D2160" t="str">
            <v>PINARHİSAR</v>
          </cell>
          <cell r="H2160" t="str">
            <v>Dağıtım-AG</v>
          </cell>
          <cell r="I2160" t="str">
            <v>Uzun</v>
          </cell>
          <cell r="J2160" t="str">
            <v>Şebeke işletmecisi</v>
          </cell>
          <cell r="K2160" t="str">
            <v>Bildirimsiz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23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689.99999983934686</v>
          </cell>
        </row>
        <row r="2161">
          <cell r="C2161" t="str">
            <v>TEKİRDAĞ</v>
          </cell>
          <cell r="D2161" t="str">
            <v>ÇORLU</v>
          </cell>
          <cell r="H2161" t="str">
            <v>Dağıtım-AG</v>
          </cell>
          <cell r="I2161" t="str">
            <v>Uzun</v>
          </cell>
          <cell r="J2161" t="str">
            <v>Şebeke işletmecisi</v>
          </cell>
          <cell r="K2161" t="str">
            <v>Bildirimsiz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40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1198.0000000912696</v>
          </cell>
        </row>
        <row r="2162">
          <cell r="C2162" t="str">
            <v>EDİRNE</v>
          </cell>
          <cell r="D2162" t="str">
            <v>KEŞAN</v>
          </cell>
          <cell r="H2162" t="str">
            <v>Dağıtım-AG</v>
          </cell>
          <cell r="I2162" t="str">
            <v>Uzun</v>
          </cell>
          <cell r="J2162" t="str">
            <v>Şebeke işletmecisi</v>
          </cell>
          <cell r="K2162" t="str">
            <v>Bildirimsiz</v>
          </cell>
          <cell r="O2162">
            <v>0</v>
          </cell>
          <cell r="P2162">
            <v>335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10033.250000764383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</row>
        <row r="2163">
          <cell r="C2163" t="str">
            <v>KIRKLARELİ</v>
          </cell>
          <cell r="D2163" t="str">
            <v>KIRKLARELİMERKEZ</v>
          </cell>
          <cell r="H2163" t="str">
            <v>Dağıtım-OG</v>
          </cell>
          <cell r="I2163" t="str">
            <v>Uzun</v>
          </cell>
          <cell r="J2163" t="str">
            <v>Şebeke İşletmecisi</v>
          </cell>
          <cell r="K2163" t="str">
            <v>Bildirimsiz</v>
          </cell>
          <cell r="O2163">
            <v>0</v>
          </cell>
          <cell r="P2163">
            <v>0</v>
          </cell>
          <cell r="Q2163">
            <v>5</v>
          </cell>
          <cell r="R2163">
            <v>0</v>
          </cell>
          <cell r="S2163">
            <v>9</v>
          </cell>
          <cell r="T2163">
            <v>668</v>
          </cell>
          <cell r="U2163">
            <v>0</v>
          </cell>
          <cell r="V2163">
            <v>0</v>
          </cell>
          <cell r="W2163">
            <v>149.33333335211501</v>
          </cell>
          <cell r="X2163">
            <v>0</v>
          </cell>
          <cell r="Y2163">
            <v>268.80000003380701</v>
          </cell>
          <cell r="Z2163">
            <v>19950.933335842565</v>
          </cell>
        </row>
        <row r="2164">
          <cell r="C2164" t="str">
            <v>TEKİRDAĞ</v>
          </cell>
          <cell r="D2164" t="str">
            <v>SÜLEYMANPAŞA</v>
          </cell>
          <cell r="H2164" t="str">
            <v>Dağıtım-OG</v>
          </cell>
          <cell r="I2164" t="str">
            <v>Uzun</v>
          </cell>
          <cell r="J2164" t="str">
            <v>Şebeke işletmecisi</v>
          </cell>
          <cell r="K2164" t="str">
            <v>Bildirimsiz</v>
          </cell>
          <cell r="O2164">
            <v>3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89.600000011269003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0</v>
          </cell>
        </row>
        <row r="2165">
          <cell r="C2165" t="str">
            <v>TEKİRDAĞ</v>
          </cell>
          <cell r="D2165" t="str">
            <v>MARMARAEREĞLİSİ</v>
          </cell>
          <cell r="H2165" t="str">
            <v>Dağıtım-AG</v>
          </cell>
          <cell r="I2165" t="str">
            <v>Uzun</v>
          </cell>
          <cell r="J2165" t="str">
            <v>Şebeke işletmecisi</v>
          </cell>
          <cell r="K2165" t="str">
            <v>Bildirimsiz</v>
          </cell>
          <cell r="O2165">
            <v>0</v>
          </cell>
          <cell r="P2165">
            <v>3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89.600000011269003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</row>
        <row r="2166">
          <cell r="C2166" t="str">
            <v>KIRKLARELİ</v>
          </cell>
          <cell r="D2166" t="str">
            <v>LÜLEBURGAZ</v>
          </cell>
          <cell r="H2166" t="str">
            <v>Dağıtım-AG</v>
          </cell>
          <cell r="I2166" t="str">
            <v>Uzun</v>
          </cell>
          <cell r="J2166" t="str">
            <v>Şebeke işletmecisi</v>
          </cell>
          <cell r="K2166" t="str">
            <v>Bildirimsiz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55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1639.9166668066755</v>
          </cell>
        </row>
        <row r="2167">
          <cell r="C2167" t="str">
            <v>EDİRNE</v>
          </cell>
          <cell r="D2167" t="str">
            <v>UZUNKÖPRÜ</v>
          </cell>
          <cell r="H2167" t="str">
            <v>Dağıtım-OG</v>
          </cell>
          <cell r="I2167" t="str">
            <v>Uzun</v>
          </cell>
          <cell r="J2167" t="str">
            <v>Şebeke İşletmecisi</v>
          </cell>
          <cell r="K2167" t="str">
            <v>Bildirimsiz</v>
          </cell>
          <cell r="O2167">
            <v>2</v>
          </cell>
          <cell r="P2167">
            <v>0</v>
          </cell>
          <cell r="Q2167">
            <v>0</v>
          </cell>
          <cell r="R2167">
            <v>0</v>
          </cell>
          <cell r="S2167">
            <v>3</v>
          </cell>
          <cell r="T2167">
            <v>0</v>
          </cell>
          <cell r="U2167">
            <v>59.533333336003125</v>
          </cell>
          <cell r="V2167">
            <v>0</v>
          </cell>
          <cell r="W2167">
            <v>0</v>
          </cell>
          <cell r="X2167">
            <v>0</v>
          </cell>
          <cell r="Y2167">
            <v>89.300000004004687</v>
          </cell>
          <cell r="Z2167">
            <v>0</v>
          </cell>
        </row>
        <row r="2168">
          <cell r="C2168" t="str">
            <v>TEKİRDAĞ</v>
          </cell>
          <cell r="D2168" t="str">
            <v>ÇORLU</v>
          </cell>
          <cell r="H2168" t="str">
            <v>Dağıtım-OG</v>
          </cell>
          <cell r="I2168" t="str">
            <v>Uzun</v>
          </cell>
          <cell r="J2168" t="str">
            <v>Şebeke işletmecisi</v>
          </cell>
          <cell r="K2168" t="str">
            <v>Bildirimsiz</v>
          </cell>
          <cell r="O2168">
            <v>5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148.24999997508712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</row>
        <row r="2169">
          <cell r="C2169" t="str">
            <v>EDİRNE</v>
          </cell>
          <cell r="D2169" t="str">
            <v>KEŞAN</v>
          </cell>
          <cell r="H2169" t="str">
            <v>Dağıtım-AG</v>
          </cell>
          <cell r="I2169" t="str">
            <v>Uzun</v>
          </cell>
          <cell r="J2169" t="str">
            <v>Şebeke işletmecisi</v>
          </cell>
          <cell r="K2169" t="str">
            <v>Bildirimsiz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19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562.71666662301868</v>
          </cell>
        </row>
        <row r="2170">
          <cell r="C2170" t="str">
            <v>TEKİRDAĞ</v>
          </cell>
          <cell r="D2170" t="str">
            <v>MALKARA</v>
          </cell>
          <cell r="H2170" t="str">
            <v>Dağıtım-OG</v>
          </cell>
          <cell r="I2170" t="str">
            <v>Uzun</v>
          </cell>
          <cell r="J2170" t="str">
            <v>Şebeke işletmecisi</v>
          </cell>
          <cell r="K2170" t="str">
            <v>Bildirimsiz</v>
          </cell>
          <cell r="O2170">
            <v>0</v>
          </cell>
          <cell r="P2170">
            <v>48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1420.800000205636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</row>
        <row r="2171">
          <cell r="C2171" t="str">
            <v>TEKİRDAĞ</v>
          </cell>
          <cell r="D2171" t="str">
            <v>MARMARAEREĞLİSİ</v>
          </cell>
          <cell r="H2171" t="str">
            <v>Dağıtım-OG</v>
          </cell>
          <cell r="I2171" t="str">
            <v>Uzun</v>
          </cell>
          <cell r="J2171" t="str">
            <v>Şebeke işletmecisi</v>
          </cell>
          <cell r="K2171" t="str">
            <v>Bildirimsiz</v>
          </cell>
          <cell r="O2171">
            <v>0</v>
          </cell>
          <cell r="P2171">
            <v>1051</v>
          </cell>
          <cell r="Q2171">
            <v>3</v>
          </cell>
          <cell r="R2171">
            <v>3018</v>
          </cell>
          <cell r="S2171">
            <v>0</v>
          </cell>
          <cell r="T2171">
            <v>2</v>
          </cell>
          <cell r="U2171">
            <v>0</v>
          </cell>
          <cell r="V2171">
            <v>31092.083333741175</v>
          </cell>
          <cell r="W2171">
            <v>88.750000001164153</v>
          </cell>
          <cell r="X2171">
            <v>89282.500001171138</v>
          </cell>
          <cell r="Y2171">
            <v>0</v>
          </cell>
          <cell r="Z2171">
            <v>59.166666667442769</v>
          </cell>
        </row>
        <row r="2172">
          <cell r="C2172" t="str">
            <v>TEKİRDAĞ</v>
          </cell>
          <cell r="D2172" t="str">
            <v>MALKARA</v>
          </cell>
          <cell r="H2172" t="str">
            <v>Dağıtım-AG</v>
          </cell>
          <cell r="I2172" t="str">
            <v>Uzun</v>
          </cell>
          <cell r="J2172" t="str">
            <v>Şebeke işletmecisi</v>
          </cell>
          <cell r="K2172" t="str">
            <v>Bildirimsiz</v>
          </cell>
          <cell r="O2172">
            <v>0</v>
          </cell>
          <cell r="P2172">
            <v>21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620.89999992633238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</row>
        <row r="2173">
          <cell r="C2173" t="str">
            <v>EDİRNE</v>
          </cell>
          <cell r="D2173" t="str">
            <v>KEŞAN</v>
          </cell>
          <cell r="H2173" t="str">
            <v>Dağıtım-AG</v>
          </cell>
          <cell r="I2173" t="str">
            <v>Uzun</v>
          </cell>
          <cell r="J2173" t="str">
            <v>Şebeke işletmecisi</v>
          </cell>
          <cell r="K2173" t="str">
            <v>Bildirimsiz</v>
          </cell>
          <cell r="O2173">
            <v>0</v>
          </cell>
          <cell r="P2173">
            <v>121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3571.5166660957038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</row>
        <row r="2174">
          <cell r="C2174" t="str">
            <v>TEKİRDAĞ</v>
          </cell>
          <cell r="D2174" t="str">
            <v>ÇORLU</v>
          </cell>
          <cell r="H2174" t="str">
            <v>Dağıtım-AG</v>
          </cell>
          <cell r="I2174" t="str">
            <v>Uzun</v>
          </cell>
          <cell r="J2174" t="str">
            <v>Şebeke işletmecisi</v>
          </cell>
          <cell r="K2174" t="str">
            <v>Bildirimsiz</v>
          </cell>
          <cell r="O2174">
            <v>0</v>
          </cell>
          <cell r="P2174">
            <v>95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2799.3333337653894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</row>
        <row r="2175">
          <cell r="C2175" t="str">
            <v>TEKİRDAĞ</v>
          </cell>
          <cell r="D2175" t="str">
            <v>KAPAKLI</v>
          </cell>
          <cell r="H2175" t="str">
            <v>Dağıtım-OG</v>
          </cell>
          <cell r="I2175" t="str">
            <v>Uzun</v>
          </cell>
          <cell r="J2175" t="str">
            <v>Şebeke işletmecisi</v>
          </cell>
          <cell r="K2175" t="str">
            <v>Bildirimli</v>
          </cell>
          <cell r="O2175">
            <v>2</v>
          </cell>
          <cell r="P2175">
            <v>994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58.866666681133211</v>
          </cell>
          <cell r="V2175">
            <v>29256.733340523206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</row>
        <row r="2176">
          <cell r="C2176" t="str">
            <v>TEKİRDAĞ</v>
          </cell>
          <cell r="D2176" t="str">
            <v>SÜLEYMANPAŞA</v>
          </cell>
          <cell r="H2176" t="str">
            <v>Dağıtım-AG</v>
          </cell>
          <cell r="I2176" t="str">
            <v>Uzun</v>
          </cell>
          <cell r="J2176" t="str">
            <v>Şebeke işletmecisi</v>
          </cell>
          <cell r="K2176" t="str">
            <v>Bildirimsiz</v>
          </cell>
          <cell r="O2176">
            <v>0</v>
          </cell>
          <cell r="P2176">
            <v>1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29.399999999441206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</row>
        <row r="2177">
          <cell r="C2177" t="str">
            <v>KIRKLARELİ</v>
          </cell>
          <cell r="D2177" t="str">
            <v>PINARHİSAR</v>
          </cell>
          <cell r="H2177" t="str">
            <v>Dağıtım-OG</v>
          </cell>
          <cell r="I2177" t="str">
            <v>Uzun</v>
          </cell>
          <cell r="J2177" t="str">
            <v>Şebeke İşletmecisi</v>
          </cell>
          <cell r="K2177" t="str">
            <v>Bildirimsiz</v>
          </cell>
          <cell r="O2177">
            <v>0</v>
          </cell>
          <cell r="P2177">
            <v>0</v>
          </cell>
          <cell r="Q2177">
            <v>0</v>
          </cell>
          <cell r="R2177">
            <v>1</v>
          </cell>
          <cell r="S2177">
            <v>4</v>
          </cell>
          <cell r="T2177">
            <v>253</v>
          </cell>
          <cell r="U2177">
            <v>0</v>
          </cell>
          <cell r="V2177">
            <v>0</v>
          </cell>
          <cell r="W2177">
            <v>0</v>
          </cell>
          <cell r="X2177">
            <v>29.399999999441206</v>
          </cell>
          <cell r="Y2177">
            <v>117.59999999776483</v>
          </cell>
          <cell r="Z2177">
            <v>7438.1999998586252</v>
          </cell>
        </row>
        <row r="2178">
          <cell r="C2178" t="str">
            <v>TEKİRDAĞ</v>
          </cell>
          <cell r="D2178" t="str">
            <v>MARMARAEREĞLİSİ</v>
          </cell>
          <cell r="H2178" t="str">
            <v>Dağıtım-AG</v>
          </cell>
          <cell r="I2178" t="str">
            <v>Uzun</v>
          </cell>
          <cell r="J2178" t="str">
            <v>Şebeke işletmecisi</v>
          </cell>
          <cell r="K2178" t="str">
            <v>Bildirimsiz</v>
          </cell>
          <cell r="O2178">
            <v>0</v>
          </cell>
          <cell r="P2178">
            <v>26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762.66666679177433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</row>
        <row r="2179">
          <cell r="C2179" t="str">
            <v>KIRKLARELİ</v>
          </cell>
          <cell r="D2179" t="str">
            <v>LÜLEBURGAZ</v>
          </cell>
          <cell r="H2179" t="str">
            <v>Dağıtım-AG</v>
          </cell>
          <cell r="I2179" t="str">
            <v>Uzun</v>
          </cell>
          <cell r="J2179" t="str">
            <v>Şebeke işletmecisi</v>
          </cell>
          <cell r="K2179" t="str">
            <v>Bildirimsiz</v>
          </cell>
          <cell r="O2179">
            <v>0</v>
          </cell>
          <cell r="P2179">
            <v>0</v>
          </cell>
          <cell r="Q2179">
            <v>0</v>
          </cell>
          <cell r="R2179">
            <v>226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6625.5666668736376</v>
          </cell>
          <cell r="Y2179">
            <v>0</v>
          </cell>
          <cell r="Z2179">
            <v>0</v>
          </cell>
        </row>
        <row r="2180">
          <cell r="C2180" t="str">
            <v>KIRKLARELİ</v>
          </cell>
          <cell r="D2180" t="str">
            <v>DEMİRKÖY</v>
          </cell>
          <cell r="H2180" t="str">
            <v>Dağıtım-OG</v>
          </cell>
          <cell r="I2180" t="str">
            <v>Uzun</v>
          </cell>
          <cell r="J2180" t="str">
            <v>Şebeke İşletmecisi</v>
          </cell>
          <cell r="K2180" t="str">
            <v>Bildirimsiz</v>
          </cell>
          <cell r="O2180">
            <v>0</v>
          </cell>
          <cell r="P2180">
            <v>0</v>
          </cell>
          <cell r="Q2180">
            <v>3</v>
          </cell>
          <cell r="R2180">
            <v>165</v>
          </cell>
          <cell r="S2180">
            <v>8</v>
          </cell>
          <cell r="T2180">
            <v>236</v>
          </cell>
          <cell r="U2180">
            <v>0</v>
          </cell>
          <cell r="V2180">
            <v>0</v>
          </cell>
          <cell r="W2180">
            <v>87.949999971315265</v>
          </cell>
          <cell r="X2180">
            <v>4837.2499984223396</v>
          </cell>
          <cell r="Y2180">
            <v>234.53333325684071</v>
          </cell>
          <cell r="Z2180">
            <v>6918.7333310768008</v>
          </cell>
        </row>
        <row r="2181">
          <cell r="C2181" t="str">
            <v>TEKİRDAĞ</v>
          </cell>
          <cell r="D2181" t="str">
            <v>HAYRABOLU</v>
          </cell>
          <cell r="H2181" t="str">
            <v>Dağıtım-AG</v>
          </cell>
          <cell r="I2181" t="str">
            <v>Uzun</v>
          </cell>
          <cell r="J2181" t="str">
            <v>Şebeke işletmecisi</v>
          </cell>
          <cell r="K2181" t="str">
            <v>Bildirimsiz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33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965.2500002074521</v>
          </cell>
        </row>
        <row r="2182">
          <cell r="C2182" t="str">
            <v>TEKİRDAĞ</v>
          </cell>
          <cell r="D2182" t="str">
            <v>SÜLEYMANPAŞA</v>
          </cell>
          <cell r="H2182" t="str">
            <v>Dağıtım-AG</v>
          </cell>
          <cell r="I2182" t="str">
            <v>Uzun</v>
          </cell>
          <cell r="J2182" t="str">
            <v>Şebeke işletmecisi</v>
          </cell>
          <cell r="K2182" t="str">
            <v>Bildirimsiz</v>
          </cell>
          <cell r="O2182">
            <v>0</v>
          </cell>
          <cell r="P2182">
            <v>3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87.749999987427145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</row>
        <row r="2183">
          <cell r="C2183" t="str">
            <v>TEKİRDAĞ</v>
          </cell>
          <cell r="D2183" t="str">
            <v>MARMARAEREĞLİSİ</v>
          </cell>
          <cell r="H2183" t="str">
            <v>Dağıtım-AG</v>
          </cell>
          <cell r="I2183" t="str">
            <v>Uzun</v>
          </cell>
          <cell r="J2183" t="str">
            <v>Şebeke işletmecisi</v>
          </cell>
          <cell r="K2183" t="str">
            <v>Bildirimsiz</v>
          </cell>
          <cell r="O2183">
            <v>0</v>
          </cell>
          <cell r="P2183">
            <v>0</v>
          </cell>
          <cell r="Q2183">
            <v>0</v>
          </cell>
          <cell r="R2183">
            <v>15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438.50000003585592</v>
          </cell>
          <cell r="Y2183">
            <v>0</v>
          </cell>
          <cell r="Z2183">
            <v>0</v>
          </cell>
        </row>
        <row r="2184">
          <cell r="C2184" t="str">
            <v>KIRKLARELİ</v>
          </cell>
          <cell r="D2184" t="str">
            <v>LÜLEBURGAZ</v>
          </cell>
          <cell r="H2184" t="str">
            <v>Dağıtım-OG</v>
          </cell>
          <cell r="I2184" t="str">
            <v>Uzun</v>
          </cell>
          <cell r="J2184" t="str">
            <v>Şebeke İşletmecisi</v>
          </cell>
          <cell r="K2184" t="str">
            <v>Bildirimsiz</v>
          </cell>
          <cell r="O2184">
            <v>2</v>
          </cell>
          <cell r="P2184">
            <v>0</v>
          </cell>
          <cell r="Q2184">
            <v>0</v>
          </cell>
          <cell r="R2184">
            <v>0</v>
          </cell>
          <cell r="S2184">
            <v>18</v>
          </cell>
          <cell r="T2184">
            <v>371</v>
          </cell>
          <cell r="U2184">
            <v>58.366666669026017</v>
          </cell>
          <cell r="V2184">
            <v>0</v>
          </cell>
          <cell r="W2184">
            <v>0</v>
          </cell>
          <cell r="X2184">
            <v>0</v>
          </cell>
          <cell r="Y2184">
            <v>525.30000002123415</v>
          </cell>
          <cell r="Z2184">
            <v>10827.016667104326</v>
          </cell>
        </row>
        <row r="2185">
          <cell r="C2185" t="str">
            <v>TEKİRDAĞ</v>
          </cell>
          <cell r="D2185" t="str">
            <v>SARAY</v>
          </cell>
          <cell r="H2185" t="str">
            <v>Dağıtım-OG</v>
          </cell>
          <cell r="I2185" t="str">
            <v>Uzun</v>
          </cell>
          <cell r="J2185" t="str">
            <v>Şebeke işletmecisi</v>
          </cell>
          <cell r="K2185" t="str">
            <v>Bildirimsiz</v>
          </cell>
          <cell r="O2185">
            <v>0</v>
          </cell>
          <cell r="P2185">
            <v>0</v>
          </cell>
          <cell r="Q2185">
            <v>5</v>
          </cell>
          <cell r="R2185">
            <v>21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145.74999996693805</v>
          </cell>
          <cell r="X2185">
            <v>612.1499998611398</v>
          </cell>
          <cell r="Y2185">
            <v>0</v>
          </cell>
          <cell r="Z2185">
            <v>0</v>
          </cell>
        </row>
        <row r="2186">
          <cell r="C2186" t="str">
            <v>TEKİRDAĞ</v>
          </cell>
          <cell r="D2186" t="str">
            <v>SÜLEYMANPAŞA</v>
          </cell>
          <cell r="H2186" t="str">
            <v>Dağıtım-AG</v>
          </cell>
          <cell r="I2186" t="str">
            <v>Uzun</v>
          </cell>
          <cell r="J2186" t="str">
            <v>Şebeke işletmecisi</v>
          </cell>
          <cell r="K2186" t="str">
            <v>Bildirimsiz</v>
          </cell>
          <cell r="O2186">
            <v>0</v>
          </cell>
          <cell r="P2186">
            <v>21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611.79999999934807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</row>
        <row r="2187">
          <cell r="C2187" t="str">
            <v>EDİRNE</v>
          </cell>
          <cell r="D2187" t="str">
            <v>KEŞAN</v>
          </cell>
          <cell r="H2187" t="str">
            <v>Dağıtım-AG</v>
          </cell>
          <cell r="I2187" t="str">
            <v>Uzun</v>
          </cell>
          <cell r="J2187" t="str">
            <v>Şebeke işletmecisi</v>
          </cell>
          <cell r="K2187" t="str">
            <v>Bildirimsiz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37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1077.3166665213648</v>
          </cell>
        </row>
        <row r="2188">
          <cell r="C2188" t="str">
            <v>EDİRNE</v>
          </cell>
          <cell r="D2188" t="str">
            <v>UZUNKÖPRÜ</v>
          </cell>
          <cell r="H2188" t="str">
            <v>Dağıtım-AG</v>
          </cell>
          <cell r="I2188" t="str">
            <v>Uzun</v>
          </cell>
          <cell r="J2188" t="str">
            <v>Şebeke işletmecisi</v>
          </cell>
          <cell r="K2188" t="str">
            <v>Bildirimsiz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111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3230.0999991316348</v>
          </cell>
        </row>
        <row r="2189">
          <cell r="C2189" t="str">
            <v>KIRKLARELİ</v>
          </cell>
          <cell r="D2189" t="str">
            <v>PEHLİVANKÖY</v>
          </cell>
          <cell r="H2189" t="str">
            <v>Dağıtım-OG</v>
          </cell>
          <cell r="I2189" t="str">
            <v>Uzun</v>
          </cell>
          <cell r="J2189" t="str">
            <v>Şebeke işletmecisi</v>
          </cell>
          <cell r="K2189" t="str">
            <v>Bildirimli</v>
          </cell>
          <cell r="O2189">
            <v>0</v>
          </cell>
          <cell r="P2189">
            <v>0</v>
          </cell>
          <cell r="Q2189">
            <v>1</v>
          </cell>
          <cell r="R2189">
            <v>954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29.08333333209157</v>
          </cell>
          <cell r="X2189">
            <v>27745.499998815358</v>
          </cell>
          <cell r="Y2189">
            <v>0</v>
          </cell>
          <cell r="Z2189">
            <v>0</v>
          </cell>
        </row>
        <row r="2190">
          <cell r="C2190" t="str">
            <v>KIRKLARELİ</v>
          </cell>
          <cell r="D2190" t="str">
            <v>LÜLEBURGAZ</v>
          </cell>
          <cell r="H2190" t="str">
            <v>Dağıtım-AG</v>
          </cell>
          <cell r="I2190" t="str">
            <v>Uzun</v>
          </cell>
          <cell r="J2190" t="str">
            <v>Şebeke işletmecisi</v>
          </cell>
          <cell r="K2190" t="str">
            <v>Bildirimsiz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2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58.133333323057741</v>
          </cell>
        </row>
        <row r="2191">
          <cell r="C2191" t="str">
            <v>EDİRNE</v>
          </cell>
          <cell r="D2191" t="str">
            <v>EDİRNEMERKEZ</v>
          </cell>
          <cell r="H2191" t="str">
            <v>Dağıtım-AG</v>
          </cell>
          <cell r="I2191" t="str">
            <v>Uzun</v>
          </cell>
          <cell r="J2191" t="str">
            <v>Şebeke işletmecisi</v>
          </cell>
          <cell r="K2191" t="str">
            <v>Bildirimsiz</v>
          </cell>
          <cell r="O2191">
            <v>0</v>
          </cell>
          <cell r="P2191">
            <v>94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2726.0000000218861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</row>
        <row r="2192">
          <cell r="C2192" t="str">
            <v>EDİRNE</v>
          </cell>
          <cell r="D2192" t="str">
            <v>KEŞAN</v>
          </cell>
          <cell r="H2192" t="str">
            <v>Dağıtım-OG</v>
          </cell>
          <cell r="I2192" t="str">
            <v>Uzun</v>
          </cell>
          <cell r="J2192" t="str">
            <v>Şebeke işletmecisi</v>
          </cell>
          <cell r="K2192" t="str">
            <v>Bildirimsiz</v>
          </cell>
          <cell r="O2192">
            <v>0</v>
          </cell>
          <cell r="P2192">
            <v>7</v>
          </cell>
          <cell r="Q2192">
            <v>0</v>
          </cell>
          <cell r="R2192">
            <v>0</v>
          </cell>
          <cell r="S2192">
            <v>1</v>
          </cell>
          <cell r="T2192">
            <v>0</v>
          </cell>
          <cell r="U2192">
            <v>0</v>
          </cell>
          <cell r="V2192">
            <v>203.00000000162981</v>
          </cell>
          <cell r="W2192">
            <v>0</v>
          </cell>
          <cell r="X2192">
            <v>0</v>
          </cell>
          <cell r="Y2192">
            <v>29.000000000232831</v>
          </cell>
          <cell r="Z2192">
            <v>0</v>
          </cell>
        </row>
        <row r="2193">
          <cell r="C2193" t="str">
            <v>KIRKLARELİ</v>
          </cell>
          <cell r="D2193" t="str">
            <v>LÜLEBURGAZ</v>
          </cell>
          <cell r="H2193" t="str">
            <v>Dağıtım-AG</v>
          </cell>
          <cell r="I2193" t="str">
            <v>Uzun</v>
          </cell>
          <cell r="J2193" t="str">
            <v>Şebeke işletmecisi</v>
          </cell>
          <cell r="K2193" t="str">
            <v>Bildirimsiz</v>
          </cell>
          <cell r="O2193">
            <v>0</v>
          </cell>
          <cell r="P2193">
            <v>0</v>
          </cell>
          <cell r="Q2193">
            <v>0</v>
          </cell>
          <cell r="R2193">
            <v>5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144.75000004749745</v>
          </cell>
          <cell r="Y2193">
            <v>0</v>
          </cell>
          <cell r="Z2193">
            <v>0</v>
          </cell>
        </row>
        <row r="2194">
          <cell r="C2194" t="str">
            <v>KIRKLARELİ</v>
          </cell>
          <cell r="D2194" t="str">
            <v>KIRKLARELİMERKEZ</v>
          </cell>
          <cell r="H2194" t="str">
            <v>Dağıtım-AG</v>
          </cell>
          <cell r="I2194" t="str">
            <v>Uzun</v>
          </cell>
          <cell r="J2194" t="str">
            <v>Şebeke işletmecisi</v>
          </cell>
          <cell r="K2194" t="str">
            <v>Bildirimsiz</v>
          </cell>
          <cell r="O2194">
            <v>0</v>
          </cell>
          <cell r="P2194">
            <v>6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173.69999999413267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</row>
        <row r="2195">
          <cell r="C2195" t="str">
            <v>KIRKLARELİ</v>
          </cell>
          <cell r="D2195" t="str">
            <v>KIRKLARELİMERKEZ</v>
          </cell>
          <cell r="H2195" t="str">
            <v>Dağıtım-OG</v>
          </cell>
          <cell r="I2195" t="str">
            <v>Uzun</v>
          </cell>
          <cell r="J2195" t="str">
            <v>Şebeke işletmecisi</v>
          </cell>
          <cell r="K2195" t="str">
            <v>Bildirimsiz</v>
          </cell>
          <cell r="O2195">
            <v>2</v>
          </cell>
          <cell r="P2195">
            <v>1</v>
          </cell>
          <cell r="Q2195">
            <v>0</v>
          </cell>
          <cell r="R2195">
            <v>0</v>
          </cell>
          <cell r="S2195">
            <v>10</v>
          </cell>
          <cell r="T2195">
            <v>0</v>
          </cell>
          <cell r="U2195">
            <v>57.833333315793425</v>
          </cell>
          <cell r="V2195">
            <v>28.916666657896712</v>
          </cell>
          <cell r="W2195">
            <v>0</v>
          </cell>
          <cell r="X2195">
            <v>0</v>
          </cell>
          <cell r="Y2195">
            <v>289.16666657896712</v>
          </cell>
          <cell r="Z2195">
            <v>0</v>
          </cell>
        </row>
        <row r="2196">
          <cell r="C2196" t="str">
            <v>KIRKLARELİ</v>
          </cell>
          <cell r="D2196" t="str">
            <v>BABAESKİ</v>
          </cell>
          <cell r="H2196" t="str">
            <v>Dağıtım-OG</v>
          </cell>
          <cell r="I2196" t="str">
            <v>Uzun</v>
          </cell>
          <cell r="J2196" t="str">
            <v>Şebeke işletmecisi</v>
          </cell>
          <cell r="K2196" t="str">
            <v>Bildirimsiz</v>
          </cell>
          <cell r="O2196">
            <v>3</v>
          </cell>
          <cell r="P2196">
            <v>1</v>
          </cell>
          <cell r="Q2196">
            <v>3</v>
          </cell>
          <cell r="R2196">
            <v>18</v>
          </cell>
          <cell r="S2196">
            <v>0</v>
          </cell>
          <cell r="T2196">
            <v>0</v>
          </cell>
          <cell r="U2196">
            <v>86.549999989802018</v>
          </cell>
          <cell r="V2196">
            <v>28.849999996600673</v>
          </cell>
          <cell r="W2196">
            <v>86.549999989802018</v>
          </cell>
          <cell r="X2196">
            <v>519.29999993881211</v>
          </cell>
          <cell r="Y2196">
            <v>0</v>
          </cell>
          <cell r="Z2196">
            <v>0</v>
          </cell>
        </row>
        <row r="2197">
          <cell r="C2197" t="str">
            <v>KIRKLARELİ</v>
          </cell>
          <cell r="D2197" t="str">
            <v>KIRKLARELİMERKEZ</v>
          </cell>
          <cell r="H2197" t="str">
            <v>Dağıtım-OG</v>
          </cell>
          <cell r="I2197" t="str">
            <v>Uzun</v>
          </cell>
          <cell r="J2197" t="str">
            <v>Şebeke İşletmecisi</v>
          </cell>
          <cell r="K2197" t="str">
            <v>Bildirimsiz</v>
          </cell>
          <cell r="O2197">
            <v>1</v>
          </cell>
          <cell r="P2197">
            <v>0</v>
          </cell>
          <cell r="Q2197">
            <v>0</v>
          </cell>
          <cell r="R2197">
            <v>0</v>
          </cell>
          <cell r="S2197">
            <v>26</v>
          </cell>
          <cell r="T2197">
            <v>1639</v>
          </cell>
          <cell r="U2197">
            <v>28.833333336515352</v>
          </cell>
          <cell r="V2197">
            <v>0</v>
          </cell>
          <cell r="W2197">
            <v>0</v>
          </cell>
          <cell r="X2197">
            <v>0</v>
          </cell>
          <cell r="Y2197">
            <v>749.66666674939916</v>
          </cell>
          <cell r="Z2197">
            <v>47257.833338548662</v>
          </cell>
        </row>
        <row r="2198">
          <cell r="C2198" t="str">
            <v>EDİRNE</v>
          </cell>
          <cell r="D2198" t="str">
            <v>KEŞAN</v>
          </cell>
          <cell r="H2198" t="str">
            <v>Dağıtım-AG</v>
          </cell>
          <cell r="I2198" t="str">
            <v>Uzun</v>
          </cell>
          <cell r="J2198" t="str">
            <v>Şebeke işletmecisi</v>
          </cell>
          <cell r="K2198" t="str">
            <v>Bildirimsiz</v>
          </cell>
          <cell r="O2198">
            <v>0</v>
          </cell>
          <cell r="P2198">
            <v>76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2190.0666666124016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</row>
        <row r="2199">
          <cell r="C2199" t="str">
            <v>EDİRNE</v>
          </cell>
          <cell r="D2199" t="str">
            <v>KEŞAN</v>
          </cell>
          <cell r="H2199" t="str">
            <v>Dağıtım-AG</v>
          </cell>
          <cell r="I2199" t="str">
            <v>Uzun</v>
          </cell>
          <cell r="J2199" t="str">
            <v>Şebeke işletmecisi</v>
          </cell>
          <cell r="K2199" t="str">
            <v>Bildirimsiz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1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28.816666665952653</v>
          </cell>
        </row>
        <row r="2200">
          <cell r="C2200" t="str">
            <v>TEKİRDAĞ</v>
          </cell>
          <cell r="D2200" t="str">
            <v>MARMARAEREĞLİSİ</v>
          </cell>
          <cell r="H2200" t="str">
            <v>Dağıtım-AG</v>
          </cell>
          <cell r="I2200" t="str">
            <v>Uzun</v>
          </cell>
          <cell r="J2200" t="str">
            <v>Şebeke işletmecisi</v>
          </cell>
          <cell r="K2200" t="str">
            <v>Bildirimsiz</v>
          </cell>
          <cell r="O2200">
            <v>0</v>
          </cell>
          <cell r="P2200">
            <v>56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1609.0666667092592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</row>
        <row r="2201">
          <cell r="C2201" t="str">
            <v>KIRKLARELİ</v>
          </cell>
          <cell r="D2201" t="str">
            <v>KIRKLARELİMERKEZ</v>
          </cell>
          <cell r="H2201" t="str">
            <v>Dağıtım-AG</v>
          </cell>
          <cell r="I2201" t="str">
            <v>Uzun</v>
          </cell>
          <cell r="J2201" t="str">
            <v>Şebeke işletmecisi</v>
          </cell>
          <cell r="K2201" t="str">
            <v>Bildirimsiz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16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459.73333334550261</v>
          </cell>
        </row>
        <row r="2202">
          <cell r="C2202" t="str">
            <v>EDİRNE</v>
          </cell>
          <cell r="D2202" t="str">
            <v>HAVSA</v>
          </cell>
          <cell r="H2202" t="str">
            <v>Dağıtım-OG</v>
          </cell>
          <cell r="I2202" t="str">
            <v>Uzun</v>
          </cell>
          <cell r="J2202" t="str">
            <v>Şebeke işletmecisi</v>
          </cell>
          <cell r="K2202" t="str">
            <v>Bildirimsiz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1</v>
          </cell>
          <cell r="T2202">
            <v>1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28.700000003445894</v>
          </cell>
          <cell r="Z2202">
            <v>28.700000003445894</v>
          </cell>
        </row>
        <row r="2203">
          <cell r="C2203" t="str">
            <v>TEKİRDAĞ</v>
          </cell>
          <cell r="D2203" t="str">
            <v>MARMARAEREĞLİSİ</v>
          </cell>
          <cell r="H2203" t="str">
            <v>Dağıtım-AG</v>
          </cell>
          <cell r="I2203" t="str">
            <v>Uzun</v>
          </cell>
          <cell r="J2203" t="str">
            <v>Şebeke işletmecisi</v>
          </cell>
          <cell r="K2203" t="str">
            <v>Bildirimsiz</v>
          </cell>
          <cell r="O2203">
            <v>0</v>
          </cell>
          <cell r="P2203">
            <v>7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200.78333333018236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</row>
        <row r="2204">
          <cell r="C2204" t="str">
            <v>EDİRNE</v>
          </cell>
          <cell r="D2204" t="str">
            <v>UZUNKÖPRÜ</v>
          </cell>
          <cell r="H2204" t="str">
            <v>Dağıtım-OG</v>
          </cell>
          <cell r="I2204" t="str">
            <v>Uzun</v>
          </cell>
          <cell r="J2204" t="str">
            <v>Şebeke işletmecisi</v>
          </cell>
          <cell r="K2204" t="str">
            <v>Bildirimsiz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3</v>
          </cell>
          <cell r="T2204">
            <v>108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86.000000018393621</v>
          </cell>
          <cell r="Z2204">
            <v>3096.0000006621704</v>
          </cell>
        </row>
        <row r="2205">
          <cell r="C2205" t="str">
            <v>TEKİRDAĞ</v>
          </cell>
          <cell r="D2205" t="str">
            <v>ŞARKÖY</v>
          </cell>
          <cell r="H2205" t="str">
            <v>Dağıtım-AG</v>
          </cell>
          <cell r="I2205" t="str">
            <v>Uzun</v>
          </cell>
          <cell r="J2205" t="str">
            <v>Şebeke işletmecisi</v>
          </cell>
          <cell r="K2205" t="str">
            <v>Bildirimsiz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13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372.66666661016643</v>
          </cell>
        </row>
        <row r="2206">
          <cell r="C2206" t="str">
            <v>KIRKLARELİ</v>
          </cell>
          <cell r="D2206" t="str">
            <v>KIRKLARELİMERKEZ</v>
          </cell>
          <cell r="H2206" t="str">
            <v>Dağıtım-OG</v>
          </cell>
          <cell r="I2206" t="str">
            <v>Uzun</v>
          </cell>
          <cell r="J2206" t="str">
            <v>Şebeke İşletmecisi</v>
          </cell>
          <cell r="K2206" t="str">
            <v>Bildirimsiz</v>
          </cell>
          <cell r="O2206">
            <v>1</v>
          </cell>
          <cell r="P2206">
            <v>4562</v>
          </cell>
          <cell r="Q2206">
            <v>0</v>
          </cell>
          <cell r="R2206">
            <v>4</v>
          </cell>
          <cell r="S2206">
            <v>0</v>
          </cell>
          <cell r="T2206">
            <v>9</v>
          </cell>
          <cell r="U2206">
            <v>28.616666671587154</v>
          </cell>
          <cell r="V2206">
            <v>130549.2333557806</v>
          </cell>
          <cell r="W2206">
            <v>0</v>
          </cell>
          <cell r="X2206">
            <v>114.46666668634862</v>
          </cell>
          <cell r="Y2206">
            <v>0</v>
          </cell>
          <cell r="Z2206">
            <v>257.55000004428439</v>
          </cell>
        </row>
        <row r="2207">
          <cell r="C2207" t="str">
            <v>KIRKLARELİ</v>
          </cell>
          <cell r="D2207" t="str">
            <v>KIRKLARELİMERKEZ</v>
          </cell>
          <cell r="H2207" t="str">
            <v>Dağıtım-OG</v>
          </cell>
          <cell r="I2207" t="str">
            <v>Uzun</v>
          </cell>
          <cell r="J2207" t="str">
            <v>Şebeke işletmecisi</v>
          </cell>
          <cell r="K2207" t="str">
            <v>Bildirimli</v>
          </cell>
          <cell r="O2207">
            <v>0</v>
          </cell>
          <cell r="P2207">
            <v>552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15796.400002716109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</row>
        <row r="2208">
          <cell r="C2208" t="str">
            <v>EDİRNE</v>
          </cell>
          <cell r="D2208" t="str">
            <v>HAVSA</v>
          </cell>
          <cell r="H2208" t="str">
            <v>Dağıtım-OG</v>
          </cell>
          <cell r="I2208" t="str">
            <v>Uzun</v>
          </cell>
          <cell r="J2208" t="str">
            <v>Şebeke işletmecisi</v>
          </cell>
          <cell r="K2208" t="str">
            <v>Bildirimsiz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122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3481.0666661686264</v>
          </cell>
        </row>
        <row r="2209">
          <cell r="C2209" t="str">
            <v>TEKİRDAĞ</v>
          </cell>
          <cell r="D2209" t="str">
            <v>MARMARAEREĞLİSİ</v>
          </cell>
          <cell r="H2209" t="str">
            <v>Dağıtım-AG</v>
          </cell>
          <cell r="I2209" t="str">
            <v>Uzun</v>
          </cell>
          <cell r="J2209" t="str">
            <v>Şebeke işletmecisi</v>
          </cell>
          <cell r="K2209" t="str">
            <v>Bildirimsiz</v>
          </cell>
          <cell r="O2209">
            <v>0</v>
          </cell>
          <cell r="P2209">
            <v>0</v>
          </cell>
          <cell r="Q2209">
            <v>0</v>
          </cell>
          <cell r="R2209">
            <v>49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1394.0500003856141</v>
          </cell>
          <cell r="Y2209">
            <v>0</v>
          </cell>
          <cell r="Z2209">
            <v>0</v>
          </cell>
        </row>
        <row r="2210">
          <cell r="C2210" t="str">
            <v>TEKİRDAĞ</v>
          </cell>
          <cell r="D2210" t="str">
            <v>ERGENE</v>
          </cell>
          <cell r="H2210" t="str">
            <v>Dağıtım-OG</v>
          </cell>
          <cell r="I2210" t="str">
            <v>Uzun</v>
          </cell>
          <cell r="J2210" t="str">
            <v>Şebeke İşletmecisi</v>
          </cell>
          <cell r="K2210" t="str">
            <v>Bildirimsiz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1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28.416666666744277</v>
          </cell>
          <cell r="Z2210">
            <v>0</v>
          </cell>
        </row>
        <row r="2211">
          <cell r="C2211" t="str">
            <v>TEKİRDAĞ</v>
          </cell>
          <cell r="D2211" t="str">
            <v>SÜLEYMANPAŞA</v>
          </cell>
          <cell r="H2211" t="str">
            <v>Dağıtım-AG</v>
          </cell>
          <cell r="I2211" t="str">
            <v>Uzun</v>
          </cell>
          <cell r="J2211" t="str">
            <v>Şebeke işletmecisi</v>
          </cell>
          <cell r="K2211" t="str">
            <v>Bildirimsiz</v>
          </cell>
          <cell r="O2211">
            <v>0</v>
          </cell>
          <cell r="P2211">
            <v>51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1448.4000003396068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</row>
        <row r="2212">
          <cell r="C2212" t="str">
            <v>KIRKLARELİ</v>
          </cell>
          <cell r="D2212" t="str">
            <v>LÜLEBURGAZ</v>
          </cell>
          <cell r="H2212" t="str">
            <v>Dağıtım-AG</v>
          </cell>
          <cell r="I2212" t="str">
            <v>Uzun</v>
          </cell>
          <cell r="J2212" t="str">
            <v>Şebeke işletmecisi</v>
          </cell>
          <cell r="K2212" t="str">
            <v>Bildirimsiz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22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624.80000014649704</v>
          </cell>
        </row>
        <row r="2213">
          <cell r="C2213" t="str">
            <v>EDİRNE</v>
          </cell>
          <cell r="D2213" t="str">
            <v>HAVSA</v>
          </cell>
          <cell r="H2213" t="str">
            <v>Dağıtım-AG</v>
          </cell>
          <cell r="I2213" t="str">
            <v>Uzun</v>
          </cell>
          <cell r="J2213" t="str">
            <v>Şebeke işletmecisi</v>
          </cell>
          <cell r="K2213" t="str">
            <v>Bildirimsiz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104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2950.13333321549</v>
          </cell>
        </row>
        <row r="2214">
          <cell r="C2214" t="str">
            <v>TEKİRDAĞ</v>
          </cell>
          <cell r="D2214" t="str">
            <v>ÇERKEZKÖY</v>
          </cell>
          <cell r="H2214" t="str">
            <v>Dağıtım-OG</v>
          </cell>
          <cell r="I2214" t="str">
            <v>Uzun</v>
          </cell>
          <cell r="J2214" t="str">
            <v>Şebeke işletmecisi</v>
          </cell>
          <cell r="K2214" t="str">
            <v>Bildirimsiz</v>
          </cell>
          <cell r="O2214">
            <v>60</v>
          </cell>
          <cell r="P2214">
            <v>5675</v>
          </cell>
          <cell r="Q2214">
            <v>0</v>
          </cell>
          <cell r="R2214">
            <v>16</v>
          </cell>
          <cell r="S2214">
            <v>0</v>
          </cell>
          <cell r="T2214">
            <v>1</v>
          </cell>
          <cell r="U2214">
            <v>1701.9999999320135</v>
          </cell>
          <cell r="V2214">
            <v>160980.83332690294</v>
          </cell>
          <cell r="W2214">
            <v>0</v>
          </cell>
          <cell r="X2214">
            <v>453.86666664853692</v>
          </cell>
          <cell r="Y2214">
            <v>0</v>
          </cell>
          <cell r="Z2214">
            <v>28.366666665533558</v>
          </cell>
        </row>
        <row r="2215">
          <cell r="C2215" t="str">
            <v>EDİRNE</v>
          </cell>
          <cell r="D2215" t="str">
            <v>KEŞAN</v>
          </cell>
          <cell r="H2215" t="str">
            <v>Dağıtım-AG</v>
          </cell>
          <cell r="I2215" t="str">
            <v>Uzun</v>
          </cell>
          <cell r="J2215" t="str">
            <v>Şebeke işletmecisi</v>
          </cell>
          <cell r="K2215" t="str">
            <v>Bildirimsiz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6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169.70000000204891</v>
          </cell>
        </row>
        <row r="2216">
          <cell r="C2216" t="str">
            <v>TEKİRDAĞ</v>
          </cell>
          <cell r="D2216" t="str">
            <v>MARMARAEREĞLİSİ</v>
          </cell>
          <cell r="H2216" t="str">
            <v>Dağıtım-AG</v>
          </cell>
          <cell r="I2216" t="str">
            <v>Uzun</v>
          </cell>
          <cell r="J2216" t="str">
            <v>Şebeke işletmecisi</v>
          </cell>
          <cell r="K2216" t="str">
            <v>Bildirimsiz</v>
          </cell>
          <cell r="O2216">
            <v>0</v>
          </cell>
          <cell r="P2216">
            <v>12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339.19999995734543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</row>
        <row r="2217">
          <cell r="C2217" t="str">
            <v>TEKİRDAĞ</v>
          </cell>
          <cell r="D2217" t="str">
            <v>SÜLEYMANPAŞA</v>
          </cell>
          <cell r="H2217" t="str">
            <v>Dağıtım-AG</v>
          </cell>
          <cell r="I2217" t="str">
            <v>Uzun</v>
          </cell>
          <cell r="J2217" t="str">
            <v>Şebeke işletmecisi</v>
          </cell>
          <cell r="K2217" t="str">
            <v>Bildirimsiz</v>
          </cell>
          <cell r="O2217">
            <v>0</v>
          </cell>
          <cell r="P2217">
            <v>7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197.86666664178483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</row>
        <row r="2218">
          <cell r="C2218" t="str">
            <v>TEKİRDAĞ</v>
          </cell>
          <cell r="D2218" t="str">
            <v>MARMARAEREĞLİSİ</v>
          </cell>
          <cell r="H2218" t="str">
            <v>Dağıtım-AG</v>
          </cell>
          <cell r="I2218" t="str">
            <v>Uzun</v>
          </cell>
          <cell r="J2218" t="str">
            <v>Şebeke işletmecisi</v>
          </cell>
          <cell r="K2218" t="str">
            <v>Bildirimsiz</v>
          </cell>
          <cell r="O2218">
            <v>0</v>
          </cell>
          <cell r="P2218">
            <v>0</v>
          </cell>
          <cell r="Q2218">
            <v>0</v>
          </cell>
          <cell r="R2218">
            <v>1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28.250000003026798</v>
          </cell>
          <cell r="Y2218">
            <v>0</v>
          </cell>
          <cell r="Z2218">
            <v>0</v>
          </cell>
        </row>
        <row r="2219">
          <cell r="C2219" t="str">
            <v>TEKİRDAĞ</v>
          </cell>
          <cell r="D2219" t="str">
            <v>KAPAKLI</v>
          </cell>
          <cell r="H2219" t="str">
            <v>Dağıtım-OG</v>
          </cell>
          <cell r="I2219" t="str">
            <v>Uzun</v>
          </cell>
          <cell r="J2219" t="str">
            <v>Şebeke işletmecisi</v>
          </cell>
          <cell r="K2219" t="str">
            <v>Bildirimsiz</v>
          </cell>
          <cell r="O2219">
            <v>12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339.00000003632158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</row>
        <row r="2220">
          <cell r="C2220" t="str">
            <v>TEKİRDAĞ</v>
          </cell>
          <cell r="D2220" t="str">
            <v>KAPAKLI</v>
          </cell>
          <cell r="H2220" t="str">
            <v>Dağıtım-AG</v>
          </cell>
          <cell r="I2220" t="str">
            <v>Uzun</v>
          </cell>
          <cell r="J2220" t="str">
            <v>Şebeke işletmecisi</v>
          </cell>
          <cell r="K2220" t="str">
            <v>Bildirimsiz</v>
          </cell>
          <cell r="O2220">
            <v>0</v>
          </cell>
          <cell r="P2220">
            <v>15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423.49999998696148</v>
          </cell>
          <cell r="W2220">
            <v>0</v>
          </cell>
          <cell r="X2220">
            <v>0</v>
          </cell>
          <cell r="Y2220">
            <v>0</v>
          </cell>
          <cell r="Z2220">
            <v>0</v>
          </cell>
        </row>
        <row r="2221">
          <cell r="C2221" t="str">
            <v>TEKİRDAĞ</v>
          </cell>
          <cell r="D2221" t="str">
            <v>ŞARKÖY</v>
          </cell>
          <cell r="H2221" t="str">
            <v>Dağıtım-AG</v>
          </cell>
          <cell r="I2221" t="str">
            <v>Uzun</v>
          </cell>
          <cell r="J2221" t="str">
            <v>Şebeke işletmecisi</v>
          </cell>
          <cell r="K2221" t="str">
            <v>Bildirimsiz</v>
          </cell>
          <cell r="O2221">
            <v>0</v>
          </cell>
          <cell r="P2221">
            <v>34</v>
          </cell>
          <cell r="Q2221">
            <v>0</v>
          </cell>
          <cell r="R2221">
            <v>0</v>
          </cell>
          <cell r="S2221">
            <v>0</v>
          </cell>
          <cell r="T2221">
            <v>3</v>
          </cell>
          <cell r="U2221">
            <v>0</v>
          </cell>
          <cell r="V2221">
            <v>958.80000006174669</v>
          </cell>
          <cell r="W2221">
            <v>0</v>
          </cell>
          <cell r="X2221">
            <v>0</v>
          </cell>
          <cell r="Y2221">
            <v>0</v>
          </cell>
          <cell r="Z2221">
            <v>84.600000005448237</v>
          </cell>
        </row>
        <row r="2222">
          <cell r="C2222" t="str">
            <v>KIRKLARELİ</v>
          </cell>
          <cell r="D2222" t="str">
            <v>LÜLEBURGAZ</v>
          </cell>
          <cell r="H2222" t="str">
            <v>Dağıtım-AG</v>
          </cell>
          <cell r="I2222" t="str">
            <v>Uzun</v>
          </cell>
          <cell r="J2222" t="str">
            <v>Şebeke işletmecisi</v>
          </cell>
          <cell r="K2222" t="str">
            <v>Bildirimsiz</v>
          </cell>
          <cell r="O2222">
            <v>0</v>
          </cell>
          <cell r="P2222">
            <v>0</v>
          </cell>
          <cell r="Q2222">
            <v>0</v>
          </cell>
          <cell r="R2222">
            <v>4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  <cell r="X2222">
            <v>112.66666668467224</v>
          </cell>
          <cell r="Y2222">
            <v>0</v>
          </cell>
          <cell r="Z2222">
            <v>0</v>
          </cell>
        </row>
        <row r="2223">
          <cell r="C2223" t="str">
            <v>KIRKLARELİ</v>
          </cell>
          <cell r="D2223" t="str">
            <v>LÜLEBURGAZ</v>
          </cell>
          <cell r="H2223" t="str">
            <v>Dağıtım-OG</v>
          </cell>
          <cell r="I2223" t="str">
            <v>Uzun</v>
          </cell>
          <cell r="J2223" t="str">
            <v>Şebeke işletmecisi</v>
          </cell>
          <cell r="K2223" t="str">
            <v>Bildirimsiz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11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309.65000000665896</v>
          </cell>
          <cell r="Z2223">
            <v>0</v>
          </cell>
        </row>
        <row r="2224">
          <cell r="C2224" t="str">
            <v>KIRKLARELİ</v>
          </cell>
          <cell r="D2224" t="str">
            <v>VİZE</v>
          </cell>
          <cell r="H2224" t="str">
            <v>Dağıtım-OG</v>
          </cell>
          <cell r="I2224" t="str">
            <v>Uzun</v>
          </cell>
          <cell r="J2224" t="str">
            <v>Şebeke işletmecisi</v>
          </cell>
          <cell r="K2224" t="str">
            <v>Bildirimsiz</v>
          </cell>
          <cell r="O2224">
            <v>0</v>
          </cell>
          <cell r="P2224">
            <v>0</v>
          </cell>
          <cell r="Q2224">
            <v>1</v>
          </cell>
          <cell r="R2224">
            <v>995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28.15000000060536</v>
          </cell>
          <cell r="X2224">
            <v>28009.250000602333</v>
          </cell>
          <cell r="Y2224">
            <v>0</v>
          </cell>
          <cell r="Z2224">
            <v>0</v>
          </cell>
        </row>
        <row r="2225">
          <cell r="C2225" t="str">
            <v>KIRKLARELİ</v>
          </cell>
          <cell r="D2225" t="str">
            <v>KIRKLARELİMERKEZ</v>
          </cell>
          <cell r="H2225" t="str">
            <v>Dağıtım-OG</v>
          </cell>
          <cell r="I2225" t="str">
            <v>Uzun</v>
          </cell>
          <cell r="J2225" t="str">
            <v>Şebeke işletmecisi</v>
          </cell>
          <cell r="K2225" t="str">
            <v>Bildirimsiz</v>
          </cell>
          <cell r="O2225">
            <v>0</v>
          </cell>
          <cell r="P2225">
            <v>0</v>
          </cell>
          <cell r="Q2225">
            <v>5</v>
          </cell>
          <cell r="R2225">
            <v>396</v>
          </cell>
          <cell r="S2225">
            <v>2</v>
          </cell>
          <cell r="T2225">
            <v>142</v>
          </cell>
          <cell r="U2225">
            <v>0</v>
          </cell>
          <cell r="V2225">
            <v>0</v>
          </cell>
          <cell r="W2225">
            <v>140.6666666502133</v>
          </cell>
          <cell r="X2225">
            <v>11140.799998696893</v>
          </cell>
          <cell r="Y2225">
            <v>56.26666666008532</v>
          </cell>
          <cell r="Z2225">
            <v>3994.9333328660578</v>
          </cell>
        </row>
        <row r="2226">
          <cell r="C2226" t="str">
            <v>TEKİRDAĞ</v>
          </cell>
          <cell r="D2226" t="str">
            <v>MALKARA</v>
          </cell>
          <cell r="H2226" t="str">
            <v>Dağıtım-OG</v>
          </cell>
          <cell r="I2226" t="str">
            <v>Uzun</v>
          </cell>
          <cell r="J2226" t="str">
            <v>Şebeke işletmecisi</v>
          </cell>
          <cell r="K2226" t="str">
            <v>Bildirimsiz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207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5820.1499985123519</v>
          </cell>
        </row>
        <row r="2227">
          <cell r="C2227" t="str">
            <v>KIRKLARELİ</v>
          </cell>
          <cell r="D2227" t="str">
            <v>VİZE</v>
          </cell>
          <cell r="H2227" t="str">
            <v>Dağıtım-AG</v>
          </cell>
          <cell r="I2227" t="str">
            <v>Uzun</v>
          </cell>
          <cell r="J2227" t="str">
            <v>Şebeke işletmecisi</v>
          </cell>
          <cell r="K2227" t="str">
            <v>Bildirimsiz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65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1824.3333334685303</v>
          </cell>
        </row>
        <row r="2228">
          <cell r="C2228" t="str">
            <v>KIRKLARELİ</v>
          </cell>
          <cell r="D2228" t="str">
            <v>KIRKLARELİMERKEZ</v>
          </cell>
          <cell r="H2228" t="str">
            <v>Dağıtım-AG</v>
          </cell>
          <cell r="I2228" t="str">
            <v>Uzun</v>
          </cell>
          <cell r="J2228" t="str">
            <v>Şebeke işletmecisi</v>
          </cell>
          <cell r="K2228" t="str">
            <v>Bildirimsiz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9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252.29999994859099</v>
          </cell>
        </row>
        <row r="2229">
          <cell r="C2229" t="str">
            <v>KIRKLARELİ</v>
          </cell>
          <cell r="D2229" t="str">
            <v>KIRKLARELİMERKEZ</v>
          </cell>
          <cell r="H2229" t="str">
            <v>Dağıtım-OG</v>
          </cell>
          <cell r="I2229" t="str">
            <v>Uzun</v>
          </cell>
          <cell r="J2229" t="str">
            <v>Şebeke işletmecisi</v>
          </cell>
          <cell r="K2229" t="str">
            <v>Bildirimsiz</v>
          </cell>
          <cell r="O2229">
            <v>15</v>
          </cell>
          <cell r="P2229">
            <v>178</v>
          </cell>
          <cell r="Q2229">
            <v>1</v>
          </cell>
          <cell r="R2229">
            <v>0</v>
          </cell>
          <cell r="S2229">
            <v>10</v>
          </cell>
          <cell r="T2229">
            <v>4</v>
          </cell>
          <cell r="U2229">
            <v>420.25000001303852</v>
          </cell>
          <cell r="V2229">
            <v>4986.9666668213904</v>
          </cell>
          <cell r="W2229">
            <v>28.016666667535901</v>
          </cell>
          <cell r="X2229">
            <v>0</v>
          </cell>
          <cell r="Y2229">
            <v>280.16666667535901</v>
          </cell>
          <cell r="Z2229">
            <v>112.0666666701436</v>
          </cell>
        </row>
        <row r="2230">
          <cell r="C2230" t="str">
            <v>KIRKLARELİ</v>
          </cell>
          <cell r="D2230" t="str">
            <v>PINARHİSAR</v>
          </cell>
          <cell r="H2230" t="str">
            <v>Dağıtım-AG</v>
          </cell>
          <cell r="I2230" t="str">
            <v>Uzun</v>
          </cell>
          <cell r="J2230" t="str">
            <v>Şebeke işletmecisi</v>
          </cell>
          <cell r="K2230" t="str">
            <v>Bildirimsiz</v>
          </cell>
          <cell r="O2230">
            <v>0</v>
          </cell>
          <cell r="P2230">
            <v>0</v>
          </cell>
          <cell r="Q2230">
            <v>0</v>
          </cell>
          <cell r="R2230">
            <v>7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196.00000005215406</v>
          </cell>
          <cell r="Y2230">
            <v>0</v>
          </cell>
          <cell r="Z2230">
            <v>0</v>
          </cell>
        </row>
        <row r="2231">
          <cell r="C2231" t="str">
            <v>EDİRNE</v>
          </cell>
          <cell r="D2231" t="str">
            <v>EDİRNEMERKEZ</v>
          </cell>
          <cell r="H2231" t="str">
            <v>Dağıtım-AG</v>
          </cell>
          <cell r="I2231" t="str">
            <v>Uzun</v>
          </cell>
          <cell r="J2231" t="str">
            <v>Şebeke işletmecisi</v>
          </cell>
          <cell r="K2231" t="str">
            <v>Bildirimsiz</v>
          </cell>
          <cell r="O2231">
            <v>0</v>
          </cell>
          <cell r="P2231">
            <v>25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699.99999992433004</v>
          </cell>
          <cell r="W2231">
            <v>0</v>
          </cell>
          <cell r="X2231">
            <v>0</v>
          </cell>
          <cell r="Y2231">
            <v>0</v>
          </cell>
          <cell r="Z2231">
            <v>0</v>
          </cell>
        </row>
        <row r="2232">
          <cell r="C2232" t="str">
            <v>TEKİRDAĞ</v>
          </cell>
          <cell r="D2232" t="str">
            <v>SARAY</v>
          </cell>
          <cell r="H2232" t="str">
            <v>Dağıtım-OG</v>
          </cell>
          <cell r="I2232" t="str">
            <v>Uzun</v>
          </cell>
          <cell r="J2232" t="str">
            <v>Şebeke işletmecisi</v>
          </cell>
          <cell r="K2232" t="str">
            <v>Bildirimsiz</v>
          </cell>
          <cell r="O2232">
            <v>0</v>
          </cell>
          <cell r="P2232">
            <v>0</v>
          </cell>
          <cell r="Q2232">
            <v>1</v>
          </cell>
          <cell r="R2232">
            <v>16</v>
          </cell>
          <cell r="S2232">
            <v>1</v>
          </cell>
          <cell r="T2232">
            <v>30</v>
          </cell>
          <cell r="U2232">
            <v>0</v>
          </cell>
          <cell r="V2232">
            <v>0</v>
          </cell>
          <cell r="W2232">
            <v>27.999999996973202</v>
          </cell>
          <cell r="X2232">
            <v>447.99999995157123</v>
          </cell>
          <cell r="Y2232">
            <v>27.999999996973202</v>
          </cell>
          <cell r="Z2232">
            <v>839.99999990919605</v>
          </cell>
        </row>
        <row r="2233">
          <cell r="C2233" t="str">
            <v>EDİRNE</v>
          </cell>
          <cell r="D2233" t="str">
            <v>SÜLOĞLU</v>
          </cell>
          <cell r="H2233" t="str">
            <v>Dağıtım-AG</v>
          </cell>
          <cell r="I2233" t="str">
            <v>Uzun</v>
          </cell>
          <cell r="J2233" t="str">
            <v>Şebeke işletmecisi</v>
          </cell>
          <cell r="K2233" t="str">
            <v>Bildirimsiz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54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1511.9999998365529</v>
          </cell>
        </row>
        <row r="2234">
          <cell r="C2234" t="str">
            <v>KIRKLARELİ</v>
          </cell>
          <cell r="D2234" t="str">
            <v>BABAESKİ</v>
          </cell>
          <cell r="H2234" t="str">
            <v>Dağıtım-AG</v>
          </cell>
          <cell r="I2234" t="str">
            <v>Uzun</v>
          </cell>
          <cell r="J2234" t="str">
            <v>Şebeke işletmecisi</v>
          </cell>
          <cell r="K2234" t="str">
            <v>Bildirimsiz</v>
          </cell>
          <cell r="O2234">
            <v>0</v>
          </cell>
          <cell r="P2234">
            <v>56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1566.1333333142102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</row>
        <row r="2235">
          <cell r="C2235" t="str">
            <v>KIRKLARELİ</v>
          </cell>
          <cell r="D2235" t="str">
            <v>PINARHİSAR</v>
          </cell>
          <cell r="H2235" t="str">
            <v>Dağıtım-OG</v>
          </cell>
          <cell r="I2235" t="str">
            <v>Uzun</v>
          </cell>
          <cell r="J2235" t="str">
            <v>Şebeke İşletmecisi</v>
          </cell>
          <cell r="K2235" t="str">
            <v>Bildirimsiz</v>
          </cell>
          <cell r="O2235">
            <v>0</v>
          </cell>
          <cell r="P2235">
            <v>3</v>
          </cell>
          <cell r="Q2235">
            <v>0</v>
          </cell>
          <cell r="R2235">
            <v>724</v>
          </cell>
          <cell r="S2235">
            <v>0</v>
          </cell>
          <cell r="T2235">
            <v>0</v>
          </cell>
          <cell r="U2235">
            <v>0</v>
          </cell>
          <cell r="V2235">
            <v>83.850000018719584</v>
          </cell>
          <cell r="W2235">
            <v>0</v>
          </cell>
          <cell r="X2235">
            <v>20235.80000451766</v>
          </cell>
          <cell r="Y2235">
            <v>0</v>
          </cell>
          <cell r="Z2235">
            <v>0</v>
          </cell>
        </row>
        <row r="2236">
          <cell r="C2236" t="str">
            <v>KIRKLARELİ</v>
          </cell>
          <cell r="D2236" t="str">
            <v>LÜLEBURGAZ</v>
          </cell>
          <cell r="H2236" t="str">
            <v>Dağıtım-AG</v>
          </cell>
          <cell r="I2236" t="str">
            <v>Uzun</v>
          </cell>
          <cell r="J2236" t="str">
            <v>Şebeke işletmecisi</v>
          </cell>
          <cell r="K2236" t="str">
            <v>Bildirimsiz</v>
          </cell>
          <cell r="O2236">
            <v>0</v>
          </cell>
          <cell r="P2236">
            <v>42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1172.4999999348074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</row>
        <row r="2237">
          <cell r="C2237" t="str">
            <v>TEKİRDAĞ</v>
          </cell>
          <cell r="D2237" t="str">
            <v>ÇERKEZKÖY</v>
          </cell>
          <cell r="H2237" t="str">
            <v>Dağıtım-AG</v>
          </cell>
          <cell r="I2237" t="str">
            <v>Uzun</v>
          </cell>
          <cell r="J2237" t="str">
            <v>Şebeke işletmecisi</v>
          </cell>
          <cell r="K2237" t="str">
            <v>Bildirimsiz</v>
          </cell>
          <cell r="O2237">
            <v>0</v>
          </cell>
          <cell r="P2237">
            <v>1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27.850000003818423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</row>
        <row r="2238">
          <cell r="C2238" t="str">
            <v>TEKİRDAĞ</v>
          </cell>
          <cell r="D2238" t="str">
            <v>MARMARAEREĞLİSİ</v>
          </cell>
          <cell r="H2238" t="str">
            <v>Dağıtım-AG</v>
          </cell>
          <cell r="I2238" t="str">
            <v>Uzun</v>
          </cell>
          <cell r="J2238" t="str">
            <v>Şebeke işletmecisi</v>
          </cell>
          <cell r="K2238" t="str">
            <v>Bildirimsiz</v>
          </cell>
          <cell r="O2238">
            <v>0</v>
          </cell>
          <cell r="P2238">
            <v>22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611.23333330499008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</row>
        <row r="2239">
          <cell r="C2239" t="str">
            <v>TEKİRDAĞ</v>
          </cell>
          <cell r="D2239" t="str">
            <v>ÇERKEZKÖY</v>
          </cell>
          <cell r="H2239" t="str">
            <v>Dağıtım-OG</v>
          </cell>
          <cell r="I2239" t="str">
            <v>Uzun</v>
          </cell>
          <cell r="J2239" t="str">
            <v>Şebeke İşletmecisi</v>
          </cell>
          <cell r="K2239" t="str">
            <v>Bildirimsiz</v>
          </cell>
          <cell r="O2239">
            <v>8</v>
          </cell>
          <cell r="P2239">
            <v>1384</v>
          </cell>
          <cell r="Q2239">
            <v>0</v>
          </cell>
          <cell r="R2239">
            <v>0</v>
          </cell>
          <cell r="S2239">
            <v>0</v>
          </cell>
          <cell r="T2239">
            <v>5</v>
          </cell>
          <cell r="U2239">
            <v>222.26666665636003</v>
          </cell>
          <cell r="V2239">
            <v>38452.133331550285</v>
          </cell>
          <cell r="W2239">
            <v>0</v>
          </cell>
          <cell r="X2239">
            <v>0</v>
          </cell>
          <cell r="Y2239">
            <v>0</v>
          </cell>
          <cell r="Z2239">
            <v>138.91666666022502</v>
          </cell>
        </row>
        <row r="2240">
          <cell r="C2240" t="str">
            <v>EDİRNE</v>
          </cell>
          <cell r="D2240" t="str">
            <v>UZUNKÖPRÜ</v>
          </cell>
          <cell r="H2240" t="str">
            <v>Dağıtım-OG</v>
          </cell>
          <cell r="I2240" t="str">
            <v>Uzun</v>
          </cell>
          <cell r="J2240" t="str">
            <v>Şebeke işletmecisi</v>
          </cell>
          <cell r="K2240" t="str">
            <v>Bildirimsiz</v>
          </cell>
          <cell r="O2240">
            <v>1</v>
          </cell>
          <cell r="P2240">
            <v>0</v>
          </cell>
          <cell r="Q2240">
            <v>0</v>
          </cell>
          <cell r="R2240">
            <v>0</v>
          </cell>
          <cell r="S2240">
            <v>8</v>
          </cell>
          <cell r="T2240">
            <v>182</v>
          </cell>
          <cell r="U2240">
            <v>27.700000000186265</v>
          </cell>
          <cell r="V2240">
            <v>0</v>
          </cell>
          <cell r="W2240">
            <v>0</v>
          </cell>
          <cell r="X2240">
            <v>0</v>
          </cell>
          <cell r="Y2240">
            <v>221.60000000149012</v>
          </cell>
          <cell r="Z2240">
            <v>5041.4000000339001</v>
          </cell>
        </row>
        <row r="2241">
          <cell r="C2241" t="str">
            <v>KIRKLARELİ</v>
          </cell>
          <cell r="D2241" t="str">
            <v>BABAESKİ</v>
          </cell>
          <cell r="H2241" t="str">
            <v>Dağıtım-AG</v>
          </cell>
          <cell r="I2241" t="str">
            <v>Uzun</v>
          </cell>
          <cell r="J2241" t="str">
            <v>Şebeke işletmecisi</v>
          </cell>
          <cell r="K2241" t="str">
            <v>Bildirimsiz</v>
          </cell>
          <cell r="O2241">
            <v>0</v>
          </cell>
          <cell r="P2241">
            <v>14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387.33333322685212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</row>
        <row r="2242">
          <cell r="C2242" t="str">
            <v>KIRKLARELİ</v>
          </cell>
          <cell r="D2242" t="str">
            <v>VİZE</v>
          </cell>
          <cell r="H2242" t="str">
            <v>Dağıtım-OG</v>
          </cell>
          <cell r="I2242" t="str">
            <v>Uzun</v>
          </cell>
          <cell r="J2242" t="str">
            <v>Şebeke işletmecisi</v>
          </cell>
          <cell r="K2242" t="str">
            <v>Bildirimsiz</v>
          </cell>
          <cell r="O2242">
            <v>0</v>
          </cell>
          <cell r="P2242">
            <v>0</v>
          </cell>
          <cell r="Q2242">
            <v>1</v>
          </cell>
          <cell r="R2242">
            <v>0</v>
          </cell>
          <cell r="S2242">
            <v>19</v>
          </cell>
          <cell r="T2242">
            <v>1323</v>
          </cell>
          <cell r="U2242">
            <v>0</v>
          </cell>
          <cell r="V2242">
            <v>0</v>
          </cell>
          <cell r="W2242">
            <v>27.616666668327525</v>
          </cell>
          <cell r="X2242">
            <v>0</v>
          </cell>
          <cell r="Y2242">
            <v>524.71666669822298</v>
          </cell>
          <cell r="Z2242">
            <v>36536.850002197316</v>
          </cell>
        </row>
        <row r="2243">
          <cell r="C2243" t="str">
            <v>EDİRNE</v>
          </cell>
          <cell r="D2243" t="str">
            <v>KEŞAN</v>
          </cell>
          <cell r="H2243" t="str">
            <v>Dağıtım-AG</v>
          </cell>
          <cell r="I2243" t="str">
            <v>Uzun</v>
          </cell>
          <cell r="J2243" t="str">
            <v>Şebeke işletmecisi</v>
          </cell>
          <cell r="K2243" t="str">
            <v>Bildirimsiz</v>
          </cell>
          <cell r="O2243">
            <v>0</v>
          </cell>
          <cell r="P2243">
            <v>8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220.80000006593764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</row>
        <row r="2244">
          <cell r="C2244" t="str">
            <v>EDİRNE</v>
          </cell>
          <cell r="D2244" t="str">
            <v>LALAPAŞA</v>
          </cell>
          <cell r="H2244" t="str">
            <v>Dağıtım-AG</v>
          </cell>
          <cell r="I2244" t="str">
            <v>Uzun</v>
          </cell>
          <cell r="J2244" t="str">
            <v>Şebeke işletmecisi</v>
          </cell>
          <cell r="K2244" t="str">
            <v>Bildirimsiz</v>
          </cell>
          <cell r="O2244">
            <v>0</v>
          </cell>
          <cell r="P2244">
            <v>0</v>
          </cell>
          <cell r="Q2244">
            <v>0</v>
          </cell>
          <cell r="R2244">
            <v>24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662.39999994635582</v>
          </cell>
          <cell r="Y2244">
            <v>0</v>
          </cell>
          <cell r="Z2244">
            <v>0</v>
          </cell>
        </row>
        <row r="2245">
          <cell r="C2245" t="str">
            <v>EDİRNE</v>
          </cell>
          <cell r="D2245" t="str">
            <v>EDİRNEMERKEZ</v>
          </cell>
          <cell r="H2245" t="str">
            <v>Dağıtım-AG</v>
          </cell>
          <cell r="I2245" t="str">
            <v>Uzun</v>
          </cell>
          <cell r="J2245" t="str">
            <v>Şebeke işletmecisi</v>
          </cell>
          <cell r="K2245" t="str">
            <v>Bildirimsiz</v>
          </cell>
          <cell r="O2245">
            <v>0</v>
          </cell>
          <cell r="P2245">
            <v>140</v>
          </cell>
          <cell r="Q2245">
            <v>0</v>
          </cell>
          <cell r="R2245">
            <v>0</v>
          </cell>
          <cell r="S2245">
            <v>0</v>
          </cell>
          <cell r="T2245">
            <v>2</v>
          </cell>
          <cell r="U2245">
            <v>0</v>
          </cell>
          <cell r="V2245">
            <v>3859.3333333963528</v>
          </cell>
          <cell r="W2245">
            <v>0</v>
          </cell>
          <cell r="X2245">
            <v>0</v>
          </cell>
          <cell r="Y2245">
            <v>0</v>
          </cell>
          <cell r="Z2245">
            <v>55.133333334233612</v>
          </cell>
        </row>
        <row r="2246">
          <cell r="C2246" t="str">
            <v>EDİRNE</v>
          </cell>
          <cell r="D2246" t="str">
            <v>MERİÇ</v>
          </cell>
          <cell r="H2246" t="str">
            <v>Dağıtım-AG</v>
          </cell>
          <cell r="I2246" t="str">
            <v>Uzun</v>
          </cell>
          <cell r="J2246" t="str">
            <v>Şebeke işletmecisi</v>
          </cell>
          <cell r="K2246" t="str">
            <v>Bildirimsiz</v>
          </cell>
          <cell r="O2246">
            <v>0</v>
          </cell>
          <cell r="P2246">
            <v>0</v>
          </cell>
          <cell r="Q2246">
            <v>0</v>
          </cell>
          <cell r="R2246">
            <v>32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881.06666676700115</v>
          </cell>
          <cell r="Y2246">
            <v>0</v>
          </cell>
          <cell r="Z2246">
            <v>0</v>
          </cell>
        </row>
        <row r="2247">
          <cell r="C2247" t="str">
            <v>KIRKLARELİ</v>
          </cell>
          <cell r="D2247" t="str">
            <v>BABAESKİ</v>
          </cell>
          <cell r="H2247" t="str">
            <v>Dağıtım-AG</v>
          </cell>
          <cell r="I2247" t="str">
            <v>Uzun</v>
          </cell>
          <cell r="J2247" t="str">
            <v>Şebeke işletmecisi</v>
          </cell>
          <cell r="K2247" t="str">
            <v>Bildirimsiz</v>
          </cell>
          <cell r="O2247">
            <v>0</v>
          </cell>
          <cell r="P2247">
            <v>16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439.73333336412907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</row>
        <row r="2248">
          <cell r="C2248" t="str">
            <v>EDİRNE</v>
          </cell>
          <cell r="D2248" t="str">
            <v>HAVSA</v>
          </cell>
          <cell r="H2248" t="str">
            <v>Dağıtım-OG</v>
          </cell>
          <cell r="I2248" t="str">
            <v>Uzun</v>
          </cell>
          <cell r="J2248" t="str">
            <v>Şebeke İşletmecisi</v>
          </cell>
          <cell r="K2248" t="str">
            <v>Bildirimsiz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1</v>
          </cell>
          <cell r="T2248">
            <v>122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27.483333335258067</v>
          </cell>
          <cell r="Z2248">
            <v>3352.9666669014841</v>
          </cell>
        </row>
        <row r="2249">
          <cell r="C2249" t="str">
            <v>EDİRNE</v>
          </cell>
          <cell r="D2249" t="str">
            <v>KEŞAN</v>
          </cell>
          <cell r="H2249" t="str">
            <v>Dağıtım-OG</v>
          </cell>
          <cell r="I2249" t="str">
            <v>Uzun</v>
          </cell>
          <cell r="J2249" t="str">
            <v>Şebeke işletmecisi</v>
          </cell>
          <cell r="K2249" t="str">
            <v>Bildirimsiz</v>
          </cell>
          <cell r="O2249">
            <v>2</v>
          </cell>
          <cell r="P2249">
            <v>2463</v>
          </cell>
          <cell r="Q2249">
            <v>0</v>
          </cell>
          <cell r="R2249">
            <v>1</v>
          </cell>
          <cell r="S2249">
            <v>1</v>
          </cell>
          <cell r="T2249">
            <v>22</v>
          </cell>
          <cell r="U2249">
            <v>54.900000009220093</v>
          </cell>
          <cell r="V2249">
            <v>67609.350011354545</v>
          </cell>
          <cell r="W2249">
            <v>0</v>
          </cell>
          <cell r="X2249">
            <v>27.450000004610047</v>
          </cell>
          <cell r="Y2249">
            <v>27.450000004610047</v>
          </cell>
          <cell r="Z2249">
            <v>603.90000010142103</v>
          </cell>
        </row>
        <row r="2250">
          <cell r="C2250" t="str">
            <v>KIRKLARELİ</v>
          </cell>
          <cell r="D2250" t="str">
            <v>LÜLEBURGAZ</v>
          </cell>
          <cell r="H2250" t="str">
            <v>Dağıtım-AG</v>
          </cell>
          <cell r="I2250" t="str">
            <v>Uzun</v>
          </cell>
          <cell r="J2250" t="str">
            <v>Şebeke işletmecisi</v>
          </cell>
          <cell r="K2250" t="str">
            <v>Bildirimsiz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3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82.200000010197982</v>
          </cell>
        </row>
        <row r="2251">
          <cell r="C2251" t="str">
            <v>EDİRNE</v>
          </cell>
          <cell r="D2251" t="str">
            <v>UZUNKÖPRÜ</v>
          </cell>
          <cell r="H2251" t="str">
            <v>Dağıtım-OG</v>
          </cell>
          <cell r="I2251" t="str">
            <v>Uzun</v>
          </cell>
          <cell r="J2251" t="str">
            <v>Şebeke işletmecisi</v>
          </cell>
          <cell r="K2251" t="str">
            <v>Bildirimsiz</v>
          </cell>
          <cell r="O2251">
            <v>0</v>
          </cell>
          <cell r="P2251">
            <v>628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17196.733333021402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</row>
        <row r="2252">
          <cell r="C2252" t="str">
            <v>KIRKLARELİ</v>
          </cell>
          <cell r="D2252" t="str">
            <v>DEMİRKÖY</v>
          </cell>
          <cell r="H2252" t="str">
            <v>Dağıtım-AG</v>
          </cell>
          <cell r="I2252" t="str">
            <v>Uzun</v>
          </cell>
          <cell r="J2252" t="str">
            <v>Şebeke işletmecisi</v>
          </cell>
          <cell r="K2252" t="str">
            <v>Bildirimsiz</v>
          </cell>
          <cell r="O2252">
            <v>0</v>
          </cell>
          <cell r="P2252">
            <v>0</v>
          </cell>
          <cell r="Q2252">
            <v>0</v>
          </cell>
          <cell r="R2252">
            <v>188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5141.8000004114583</v>
          </cell>
          <cell r="Y2252">
            <v>0</v>
          </cell>
          <cell r="Z2252">
            <v>0</v>
          </cell>
        </row>
        <row r="2253">
          <cell r="C2253" t="str">
            <v>TEKİRDAĞ</v>
          </cell>
          <cell r="D2253" t="str">
            <v>MALKARA</v>
          </cell>
          <cell r="H2253" t="str">
            <v>Dağıtım-OG</v>
          </cell>
          <cell r="I2253" t="str">
            <v>Uzun</v>
          </cell>
          <cell r="J2253" t="str">
            <v>Şebeke işletmecisi</v>
          </cell>
          <cell r="K2253" t="str">
            <v>Bildirimsiz</v>
          </cell>
          <cell r="O2253">
            <v>1</v>
          </cell>
          <cell r="P2253">
            <v>0</v>
          </cell>
          <cell r="Q2253">
            <v>0</v>
          </cell>
          <cell r="R2253">
            <v>0</v>
          </cell>
          <cell r="S2253">
            <v>1</v>
          </cell>
          <cell r="T2253">
            <v>0</v>
          </cell>
          <cell r="U2253">
            <v>27.350000002188608</v>
          </cell>
          <cell r="V2253">
            <v>0</v>
          </cell>
          <cell r="W2253">
            <v>0</v>
          </cell>
          <cell r="X2253">
            <v>0</v>
          </cell>
          <cell r="Y2253">
            <v>27.350000002188608</v>
          </cell>
          <cell r="Z2253">
            <v>0</v>
          </cell>
        </row>
        <row r="2254">
          <cell r="C2254" t="str">
            <v>KIRKLARELİ</v>
          </cell>
          <cell r="D2254" t="str">
            <v>VİZE</v>
          </cell>
          <cell r="H2254" t="str">
            <v>Dağıtım-AG</v>
          </cell>
          <cell r="I2254" t="str">
            <v>Uzun</v>
          </cell>
          <cell r="J2254" t="str">
            <v>Şebeke işletmecisi</v>
          </cell>
          <cell r="K2254" t="str">
            <v>Bildirimsiz</v>
          </cell>
          <cell r="O2254">
            <v>0</v>
          </cell>
          <cell r="P2254">
            <v>0</v>
          </cell>
          <cell r="Q2254">
            <v>0</v>
          </cell>
          <cell r="R2254">
            <v>54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1473.2999998424202</v>
          </cell>
          <cell r="Y2254">
            <v>0</v>
          </cell>
          <cell r="Z2254">
            <v>0</v>
          </cell>
        </row>
        <row r="2255">
          <cell r="C2255" t="str">
            <v>TEKİRDAĞ</v>
          </cell>
          <cell r="D2255" t="str">
            <v>HAYRABOLU</v>
          </cell>
          <cell r="H2255" t="str">
            <v>Dağıtım-AG</v>
          </cell>
          <cell r="I2255" t="str">
            <v>Uzun</v>
          </cell>
          <cell r="J2255" t="str">
            <v>Şebeke işletmecisi</v>
          </cell>
          <cell r="K2255" t="str">
            <v>Bildirimsiz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26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708.93333342857659</v>
          </cell>
        </row>
        <row r="2256">
          <cell r="C2256" t="str">
            <v>EDİRNE</v>
          </cell>
          <cell r="D2256" t="str">
            <v>EDİRNEMERKEZ</v>
          </cell>
          <cell r="H2256" t="str">
            <v>Dağıtım-OG</v>
          </cell>
          <cell r="I2256" t="str">
            <v>Uzun</v>
          </cell>
          <cell r="J2256" t="str">
            <v>Şebeke işletmecisi</v>
          </cell>
          <cell r="K2256" t="str">
            <v>Bildirimsiz</v>
          </cell>
          <cell r="O2256">
            <v>0</v>
          </cell>
          <cell r="P2256">
            <v>24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654.39999983645976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</row>
        <row r="2257">
          <cell r="C2257" t="str">
            <v>TEKİRDAĞ</v>
          </cell>
          <cell r="D2257" t="str">
            <v>SÜLEYMANPAŞA</v>
          </cell>
          <cell r="H2257" t="str">
            <v>Dağıtım-OG</v>
          </cell>
          <cell r="I2257" t="str">
            <v>Uzun</v>
          </cell>
          <cell r="J2257" t="str">
            <v>Şebeke İşletmecisi</v>
          </cell>
          <cell r="K2257" t="str">
            <v>Bildirimsiz</v>
          </cell>
          <cell r="O2257">
            <v>0</v>
          </cell>
          <cell r="P2257">
            <v>1050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28612.499999755528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</row>
        <row r="2258">
          <cell r="C2258" t="str">
            <v>TEKİRDAĞ</v>
          </cell>
          <cell r="D2258" t="str">
            <v>KAPAKLI</v>
          </cell>
          <cell r="H2258" t="str">
            <v>Dağıtım-AG</v>
          </cell>
          <cell r="I2258" t="str">
            <v>Uzun</v>
          </cell>
          <cell r="J2258" t="str">
            <v>Şebeke işletmecisi</v>
          </cell>
          <cell r="K2258" t="str">
            <v>Bildirimsiz</v>
          </cell>
          <cell r="O2258">
            <v>0</v>
          </cell>
          <cell r="P2258">
            <v>212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5776.9999999506399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</row>
        <row r="2259">
          <cell r="C2259" t="str">
            <v>KIRKLARELİ</v>
          </cell>
          <cell r="D2259" t="str">
            <v>BABAESKİ</v>
          </cell>
          <cell r="H2259" t="str">
            <v>Dağıtım-AG</v>
          </cell>
          <cell r="I2259" t="str">
            <v>Uzun</v>
          </cell>
          <cell r="J2259" t="str">
            <v>Şebeke işletmecisi</v>
          </cell>
          <cell r="K2259" t="str">
            <v>Bildirimsiz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11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299.56666662124917</v>
          </cell>
        </row>
        <row r="2260">
          <cell r="C2260" t="str">
            <v>TEKİRDAĞ</v>
          </cell>
          <cell r="D2260" t="str">
            <v>SÜLEYMANPAŞA</v>
          </cell>
          <cell r="H2260" t="str">
            <v>Dağıtım-AG</v>
          </cell>
          <cell r="I2260" t="str">
            <v>Uzun</v>
          </cell>
          <cell r="J2260" t="str">
            <v>Şebeke işletmecisi</v>
          </cell>
          <cell r="K2260" t="str">
            <v>Bildirimsiz</v>
          </cell>
          <cell r="O2260">
            <v>0</v>
          </cell>
          <cell r="P2260">
            <v>0</v>
          </cell>
          <cell r="Q2260">
            <v>0</v>
          </cell>
          <cell r="R2260">
            <v>49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1333.6166667868383</v>
          </cell>
          <cell r="Y2260">
            <v>0</v>
          </cell>
          <cell r="Z2260">
            <v>0</v>
          </cell>
        </row>
        <row r="2261">
          <cell r="C2261" t="str">
            <v>TEKİRDAĞ</v>
          </cell>
          <cell r="D2261" t="str">
            <v>SÜLEYMANPAŞA</v>
          </cell>
          <cell r="H2261" t="str">
            <v>Dağıtım-AG</v>
          </cell>
          <cell r="I2261" t="str">
            <v>Uzun</v>
          </cell>
          <cell r="J2261" t="str">
            <v>Şebeke işletmecisi</v>
          </cell>
          <cell r="K2261" t="str">
            <v>Bildirimsiz</v>
          </cell>
          <cell r="O2261">
            <v>0</v>
          </cell>
          <cell r="P2261">
            <v>3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81.50000000372529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</row>
        <row r="2262">
          <cell r="C2262" t="str">
            <v>KIRKLARELİ</v>
          </cell>
          <cell r="D2262" t="str">
            <v>KIRKLARELİMERKEZ</v>
          </cell>
          <cell r="H2262" t="str">
            <v>Dağıtım-OG</v>
          </cell>
          <cell r="I2262" t="str">
            <v>Uzun</v>
          </cell>
          <cell r="J2262" t="str">
            <v>Şebeke işletmecisi</v>
          </cell>
          <cell r="K2262" t="str">
            <v>Bildirimsiz</v>
          </cell>
          <cell r="O2262">
            <v>0</v>
          </cell>
          <cell r="P2262">
            <v>0</v>
          </cell>
          <cell r="Q2262">
            <v>5</v>
          </cell>
          <cell r="R2262">
            <v>0</v>
          </cell>
          <cell r="S2262">
            <v>9</v>
          </cell>
          <cell r="T2262">
            <v>668</v>
          </cell>
          <cell r="U2262">
            <v>0</v>
          </cell>
          <cell r="V2262">
            <v>0</v>
          </cell>
          <cell r="W2262">
            <v>135.66666668630205</v>
          </cell>
          <cell r="X2262">
            <v>0</v>
          </cell>
          <cell r="Y2262">
            <v>244.20000003534369</v>
          </cell>
          <cell r="Z2262">
            <v>18125.066669289954</v>
          </cell>
        </row>
        <row r="2263">
          <cell r="C2263" t="str">
            <v>TEKİRDAĞ</v>
          </cell>
          <cell r="D2263" t="str">
            <v>ÇORLU</v>
          </cell>
          <cell r="H2263" t="str">
            <v>Dağıtım-OG</v>
          </cell>
          <cell r="I2263" t="str">
            <v>Uzun</v>
          </cell>
          <cell r="J2263" t="str">
            <v>Şebeke işletmecisi</v>
          </cell>
          <cell r="K2263" t="str">
            <v>Bildirimsiz</v>
          </cell>
          <cell r="O2263">
            <v>2</v>
          </cell>
          <cell r="P2263">
            <v>980</v>
          </cell>
          <cell r="Q2263">
            <v>0</v>
          </cell>
          <cell r="R2263">
            <v>0</v>
          </cell>
          <cell r="S2263">
            <v>0</v>
          </cell>
          <cell r="T2263">
            <v>5</v>
          </cell>
          <cell r="U2263">
            <v>54.133333330973983</v>
          </cell>
          <cell r="V2263">
            <v>26525.333332177252</v>
          </cell>
          <cell r="W2263">
            <v>0</v>
          </cell>
          <cell r="X2263">
            <v>0</v>
          </cell>
          <cell r="Y2263">
            <v>0</v>
          </cell>
          <cell r="Z2263">
            <v>135.33333332743496</v>
          </cell>
        </row>
        <row r="2264">
          <cell r="C2264" t="str">
            <v>EDİRNE</v>
          </cell>
          <cell r="D2264" t="str">
            <v>İPSALA</v>
          </cell>
          <cell r="H2264" t="str">
            <v>Dağıtım-AG</v>
          </cell>
          <cell r="I2264" t="str">
            <v>Uzun</v>
          </cell>
          <cell r="J2264" t="str">
            <v>Şebeke işletmecisi</v>
          </cell>
          <cell r="K2264" t="str">
            <v>Bildirimsiz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4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108.20000002160668</v>
          </cell>
        </row>
        <row r="2265">
          <cell r="C2265" t="str">
            <v>TEKİRDAĞ</v>
          </cell>
          <cell r="D2265" t="str">
            <v>MARMARAEREĞLİSİ</v>
          </cell>
          <cell r="H2265" t="str">
            <v>Dağıtım-AG</v>
          </cell>
          <cell r="I2265" t="str">
            <v>Uzun</v>
          </cell>
          <cell r="J2265" t="str">
            <v>Şebeke işletmecisi</v>
          </cell>
          <cell r="K2265" t="str">
            <v>Bildirimsiz</v>
          </cell>
          <cell r="O2265">
            <v>0</v>
          </cell>
          <cell r="P2265">
            <v>4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108.0666666990146</v>
          </cell>
          <cell r="W2265">
            <v>0</v>
          </cell>
          <cell r="X2265">
            <v>0</v>
          </cell>
          <cell r="Y2265">
            <v>0</v>
          </cell>
          <cell r="Z2265">
            <v>0</v>
          </cell>
        </row>
        <row r="2266">
          <cell r="C2266" t="str">
            <v>TEKİRDAĞ</v>
          </cell>
          <cell r="D2266" t="str">
            <v>MURATLI</v>
          </cell>
          <cell r="H2266" t="str">
            <v>Dağıtım-AG</v>
          </cell>
          <cell r="I2266" t="str">
            <v>Uzun</v>
          </cell>
          <cell r="J2266" t="str">
            <v>Şebeke işletmecisi</v>
          </cell>
          <cell r="K2266" t="str">
            <v>Bildirimsiz</v>
          </cell>
          <cell r="O2266">
            <v>0</v>
          </cell>
          <cell r="P2266">
            <v>3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81.000000012572855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</row>
        <row r="2267">
          <cell r="C2267" t="str">
            <v>KIRKLARELİ</v>
          </cell>
          <cell r="D2267" t="str">
            <v>PINARHİSAR</v>
          </cell>
          <cell r="H2267" t="str">
            <v>Dağıtım-AG</v>
          </cell>
          <cell r="I2267" t="str">
            <v>Uzun</v>
          </cell>
          <cell r="J2267" t="str">
            <v>Şebeke işletmecisi</v>
          </cell>
          <cell r="K2267" t="str">
            <v>Bildirimsiz</v>
          </cell>
          <cell r="O2267">
            <v>0</v>
          </cell>
          <cell r="P2267">
            <v>0</v>
          </cell>
          <cell r="Q2267">
            <v>0</v>
          </cell>
          <cell r="R2267">
            <v>124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3347.999999220483</v>
          </cell>
          <cell r="Y2267">
            <v>0</v>
          </cell>
          <cell r="Z2267">
            <v>0</v>
          </cell>
        </row>
        <row r="2268">
          <cell r="C2268" t="str">
            <v>TEKİRDAĞ</v>
          </cell>
          <cell r="D2268" t="str">
            <v>MARMARAEREĞLİSİ</v>
          </cell>
          <cell r="H2268" t="str">
            <v>Dağıtım-AG</v>
          </cell>
          <cell r="I2268" t="str">
            <v>Uzun</v>
          </cell>
          <cell r="J2268" t="str">
            <v>Şebeke işletmecisi</v>
          </cell>
          <cell r="K2268" t="str">
            <v>Bildirimsiz</v>
          </cell>
          <cell r="O2268">
            <v>0</v>
          </cell>
          <cell r="P2268">
            <v>134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3617.9999991576187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</row>
        <row r="2269">
          <cell r="C2269" t="str">
            <v>EDİRNE</v>
          </cell>
          <cell r="D2269" t="str">
            <v>MERİÇ</v>
          </cell>
          <cell r="H2269" t="str">
            <v>Dağıtım-OG</v>
          </cell>
          <cell r="I2269" t="str">
            <v>Uzun</v>
          </cell>
          <cell r="J2269" t="str">
            <v>Şebeke İşletmecisi</v>
          </cell>
          <cell r="K2269" t="str">
            <v>Bildirimsiz</v>
          </cell>
          <cell r="O2269">
            <v>0</v>
          </cell>
          <cell r="P2269">
            <v>0</v>
          </cell>
          <cell r="Q2269">
            <v>0</v>
          </cell>
          <cell r="R2269">
            <v>889</v>
          </cell>
          <cell r="S2269">
            <v>11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23988.183333595516</v>
          </cell>
          <cell r="Y2269">
            <v>296.81666666991077</v>
          </cell>
          <cell r="Z2269">
            <v>0</v>
          </cell>
        </row>
        <row r="2270">
          <cell r="C2270" t="str">
            <v>EDİRNE</v>
          </cell>
          <cell r="D2270" t="str">
            <v>UZUNKÖPRÜ</v>
          </cell>
          <cell r="H2270" t="str">
            <v>Dağıtım-OG</v>
          </cell>
          <cell r="I2270" t="str">
            <v>Uzun</v>
          </cell>
          <cell r="J2270" t="str">
            <v>Şebeke İşletmecisi</v>
          </cell>
          <cell r="K2270" t="str">
            <v>Bildirimsiz</v>
          </cell>
          <cell r="O2270">
            <v>5</v>
          </cell>
          <cell r="P2270">
            <v>151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134.58333330927417</v>
          </cell>
          <cell r="V2270">
            <v>4064.4166659400798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</row>
        <row r="2271">
          <cell r="C2271" t="str">
            <v>EDİRNE</v>
          </cell>
          <cell r="D2271" t="str">
            <v>ENEZ</v>
          </cell>
          <cell r="H2271" t="str">
            <v>Dağıtım-OG</v>
          </cell>
          <cell r="I2271" t="str">
            <v>Uzun</v>
          </cell>
          <cell r="J2271" t="str">
            <v>Şebeke İşletmecisi</v>
          </cell>
          <cell r="K2271" t="str">
            <v>Bildirimsiz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1</v>
          </cell>
          <cell r="T2271">
            <v>272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26.899999991292134</v>
          </cell>
          <cell r="Z2271">
            <v>7316.7999976314604</v>
          </cell>
        </row>
        <row r="2272">
          <cell r="C2272" t="str">
            <v>KIRKLARELİ</v>
          </cell>
          <cell r="D2272" t="str">
            <v>KIRKLARELİMERKEZ</v>
          </cell>
          <cell r="H2272" t="str">
            <v>Dağıtım-OG</v>
          </cell>
          <cell r="I2272" t="str">
            <v>Uzun</v>
          </cell>
          <cell r="J2272" t="str">
            <v>Şebeke işletmecisi</v>
          </cell>
          <cell r="K2272" t="str">
            <v>Bildirimsiz</v>
          </cell>
          <cell r="O2272">
            <v>2</v>
          </cell>
          <cell r="P2272">
            <v>1</v>
          </cell>
          <cell r="Q2272">
            <v>2</v>
          </cell>
          <cell r="R2272">
            <v>0</v>
          </cell>
          <cell r="S2272">
            <v>0</v>
          </cell>
          <cell r="T2272">
            <v>0</v>
          </cell>
          <cell r="U2272">
            <v>53.766666662413627</v>
          </cell>
          <cell r="V2272">
            <v>26.883333331206813</v>
          </cell>
          <cell r="W2272">
            <v>53.766666662413627</v>
          </cell>
          <cell r="X2272">
            <v>0</v>
          </cell>
          <cell r="Y2272">
            <v>0</v>
          </cell>
          <cell r="Z2272">
            <v>0</v>
          </cell>
        </row>
        <row r="2273">
          <cell r="C2273" t="str">
            <v>EDİRNE</v>
          </cell>
          <cell r="D2273" t="str">
            <v>KEŞAN</v>
          </cell>
          <cell r="H2273" t="str">
            <v>Dağıtım-AG</v>
          </cell>
          <cell r="I2273" t="str">
            <v>Uzun</v>
          </cell>
          <cell r="J2273" t="str">
            <v>Şebeke işletmecisi</v>
          </cell>
          <cell r="K2273" t="str">
            <v>Bildirimsiz</v>
          </cell>
          <cell r="O2273">
            <v>0</v>
          </cell>
          <cell r="P2273">
            <v>198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5316.3000001106411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</row>
        <row r="2274">
          <cell r="C2274" t="str">
            <v>TEKİRDAĞ</v>
          </cell>
          <cell r="D2274" t="str">
            <v>ÇERKEZKÖY</v>
          </cell>
          <cell r="H2274" t="str">
            <v>Dağıtım-AG</v>
          </cell>
          <cell r="I2274" t="str">
            <v>Uzun</v>
          </cell>
          <cell r="J2274" t="str">
            <v>Şebeke işletmecisi</v>
          </cell>
          <cell r="K2274" t="str">
            <v>Bildirimsiz</v>
          </cell>
          <cell r="O2274">
            <v>0</v>
          </cell>
          <cell r="P2274">
            <v>5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133.99999999674037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</row>
        <row r="2275">
          <cell r="C2275" t="str">
            <v>TEKİRDAĞ</v>
          </cell>
          <cell r="D2275" t="str">
            <v>KAPAKLI</v>
          </cell>
          <cell r="H2275" t="str">
            <v>Dağıtım-AG</v>
          </cell>
          <cell r="I2275" t="str">
            <v>Uzun</v>
          </cell>
          <cell r="J2275" t="str">
            <v>Şebeke işletmecisi</v>
          </cell>
          <cell r="K2275" t="str">
            <v>Bildirimsiz</v>
          </cell>
          <cell r="O2275">
            <v>0</v>
          </cell>
          <cell r="P2275">
            <v>172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4606.7333343531936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</row>
        <row r="2276">
          <cell r="C2276" t="str">
            <v>EDİRNE</v>
          </cell>
          <cell r="D2276" t="str">
            <v>EDİRNEMERKEZ</v>
          </cell>
          <cell r="H2276" t="str">
            <v>Dağıtım-OG</v>
          </cell>
          <cell r="I2276" t="str">
            <v>Uzun</v>
          </cell>
          <cell r="J2276" t="str">
            <v>Şebeke işletmecisi</v>
          </cell>
          <cell r="K2276" t="str">
            <v>Bildirimsiz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307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8222.4833351536654</v>
          </cell>
        </row>
        <row r="2277">
          <cell r="C2277" t="str">
            <v>EDİRNE</v>
          </cell>
          <cell r="D2277" t="str">
            <v>İPSALA</v>
          </cell>
          <cell r="H2277" t="str">
            <v>Dağıtım-OG</v>
          </cell>
          <cell r="I2277" t="str">
            <v>Uzun</v>
          </cell>
          <cell r="J2277" t="str">
            <v>Şebeke işletmecisi</v>
          </cell>
          <cell r="K2277" t="str">
            <v>Bildirimsiz</v>
          </cell>
          <cell r="O2277">
            <v>0</v>
          </cell>
          <cell r="P2277">
            <v>0</v>
          </cell>
          <cell r="Q2277">
            <v>18</v>
          </cell>
          <cell r="R2277">
            <v>0</v>
          </cell>
          <cell r="S2277">
            <v>1</v>
          </cell>
          <cell r="T2277">
            <v>0</v>
          </cell>
          <cell r="U2277">
            <v>0</v>
          </cell>
          <cell r="V2277">
            <v>0</v>
          </cell>
          <cell r="W2277">
            <v>482.10000010672957</v>
          </cell>
          <cell r="X2277">
            <v>0</v>
          </cell>
          <cell r="Y2277">
            <v>26.783333339262754</v>
          </cell>
          <cell r="Z2277">
            <v>0</v>
          </cell>
        </row>
        <row r="2278">
          <cell r="C2278" t="str">
            <v>TEKİRDAĞ</v>
          </cell>
          <cell r="D2278" t="str">
            <v>MARMARAEREĞLİSİ</v>
          </cell>
          <cell r="H2278" t="str">
            <v>Dağıtım-AG</v>
          </cell>
          <cell r="I2278" t="str">
            <v>Uzun</v>
          </cell>
          <cell r="J2278" t="str">
            <v>Şebeke işletmecisi</v>
          </cell>
          <cell r="K2278" t="str">
            <v>Bildirimsiz</v>
          </cell>
          <cell r="O2278">
            <v>0</v>
          </cell>
          <cell r="P2278">
            <v>0</v>
          </cell>
          <cell r="Q2278">
            <v>0</v>
          </cell>
          <cell r="R2278">
            <v>10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267.66666658222675</v>
          </cell>
          <cell r="Y2278">
            <v>0</v>
          </cell>
          <cell r="Z2278">
            <v>0</v>
          </cell>
        </row>
        <row r="2279">
          <cell r="C2279" t="str">
            <v>KIRKLARELİ</v>
          </cell>
          <cell r="D2279" t="str">
            <v>KIRKLARELİMERKEZ</v>
          </cell>
          <cell r="H2279" t="str">
            <v>Dağıtım-OG</v>
          </cell>
          <cell r="I2279" t="str">
            <v>Uzun</v>
          </cell>
          <cell r="J2279" t="str">
            <v>Şebeke işletmecisi</v>
          </cell>
          <cell r="K2279" t="str">
            <v>Bildirimsiz</v>
          </cell>
          <cell r="O2279">
            <v>2</v>
          </cell>
          <cell r="P2279">
            <v>1</v>
          </cell>
          <cell r="Q2279">
            <v>0</v>
          </cell>
          <cell r="R2279">
            <v>0</v>
          </cell>
          <cell r="S2279">
            <v>10</v>
          </cell>
          <cell r="T2279">
            <v>0</v>
          </cell>
          <cell r="U2279">
            <v>53.500000017229468</v>
          </cell>
          <cell r="V2279">
            <v>26.750000008614734</v>
          </cell>
          <cell r="W2279">
            <v>0</v>
          </cell>
          <cell r="X2279">
            <v>0</v>
          </cell>
          <cell r="Y2279">
            <v>267.50000008614734</v>
          </cell>
          <cell r="Z2279">
            <v>0</v>
          </cell>
        </row>
        <row r="2280">
          <cell r="C2280" t="str">
            <v>KIRKLARELİ</v>
          </cell>
          <cell r="D2280" t="str">
            <v>PEHLİVANKÖY</v>
          </cell>
          <cell r="H2280" t="str">
            <v>Dağıtım-AG</v>
          </cell>
          <cell r="I2280" t="str">
            <v>Uzun</v>
          </cell>
          <cell r="J2280" t="str">
            <v>Şebeke işletmecisi</v>
          </cell>
          <cell r="K2280" t="str">
            <v>Bildirimsiz</v>
          </cell>
          <cell r="O2280">
            <v>0</v>
          </cell>
          <cell r="P2280">
            <v>34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907.23333345260471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</row>
        <row r="2281">
          <cell r="C2281" t="str">
            <v>KIRKLARELİ</v>
          </cell>
          <cell r="D2281" t="str">
            <v>KIRKLARELİMERKEZ</v>
          </cell>
          <cell r="H2281" t="str">
            <v>Dağıtım-OG</v>
          </cell>
          <cell r="I2281" t="str">
            <v>Uzun</v>
          </cell>
          <cell r="J2281" t="str">
            <v>Şebeke İşletmecisi</v>
          </cell>
          <cell r="K2281" t="str">
            <v>Bildirimsiz</v>
          </cell>
          <cell r="O2281">
            <v>0</v>
          </cell>
          <cell r="P2281">
            <v>0</v>
          </cell>
          <cell r="Q2281">
            <v>5</v>
          </cell>
          <cell r="R2281">
            <v>0</v>
          </cell>
          <cell r="S2281">
            <v>2</v>
          </cell>
          <cell r="T2281">
            <v>139</v>
          </cell>
          <cell r="U2281">
            <v>0</v>
          </cell>
          <cell r="V2281">
            <v>0</v>
          </cell>
          <cell r="W2281">
            <v>133.08333332533948</v>
          </cell>
          <cell r="X2281">
            <v>0</v>
          </cell>
          <cell r="Y2281">
            <v>53.233333330135792</v>
          </cell>
          <cell r="Z2281">
            <v>3699.7166664444376</v>
          </cell>
        </row>
        <row r="2282">
          <cell r="C2282" t="str">
            <v>TEKİRDAĞ</v>
          </cell>
          <cell r="D2282" t="str">
            <v>MARMARAEREĞLİSİ</v>
          </cell>
          <cell r="H2282" t="str">
            <v>Dağıtım-AG</v>
          </cell>
          <cell r="I2282" t="str">
            <v>Uzun</v>
          </cell>
          <cell r="J2282" t="str">
            <v>Şebeke işletmecisi</v>
          </cell>
          <cell r="K2282" t="str">
            <v>Bildirimsiz</v>
          </cell>
          <cell r="O2282">
            <v>0</v>
          </cell>
          <cell r="P2282">
            <v>0</v>
          </cell>
          <cell r="Q2282">
            <v>0</v>
          </cell>
          <cell r="R2282">
            <v>3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79.750000003259629</v>
          </cell>
          <cell r="Y2282">
            <v>0</v>
          </cell>
          <cell r="Z2282">
            <v>0</v>
          </cell>
        </row>
        <row r="2283">
          <cell r="C2283" t="str">
            <v>EDİRNE</v>
          </cell>
          <cell r="D2283" t="str">
            <v>İPSALA</v>
          </cell>
          <cell r="H2283" t="str">
            <v>Dağıtım-AG</v>
          </cell>
          <cell r="I2283" t="str">
            <v>Uzun</v>
          </cell>
          <cell r="J2283" t="str">
            <v>Şebeke işletmecisi</v>
          </cell>
          <cell r="K2283" t="str">
            <v>Bildirimsiz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14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371.4666666649282</v>
          </cell>
        </row>
        <row r="2284">
          <cell r="C2284" t="str">
            <v>TEKİRDAĞ</v>
          </cell>
          <cell r="D2284" t="str">
            <v>MALKARA</v>
          </cell>
          <cell r="H2284" t="str">
            <v>Dağıtım-AG</v>
          </cell>
          <cell r="I2284" t="str">
            <v>Uzun</v>
          </cell>
          <cell r="J2284" t="str">
            <v>Şebeke işletmecisi</v>
          </cell>
          <cell r="K2284" t="str">
            <v>Bildirimsiz</v>
          </cell>
          <cell r="O2284">
            <v>0</v>
          </cell>
          <cell r="P2284">
            <v>3</v>
          </cell>
          <cell r="Q2284">
            <v>0</v>
          </cell>
          <cell r="R2284">
            <v>0</v>
          </cell>
          <cell r="S2284">
            <v>0</v>
          </cell>
          <cell r="T2284">
            <v>101</v>
          </cell>
          <cell r="U2284">
            <v>0</v>
          </cell>
          <cell r="V2284">
            <v>79.549999987939373</v>
          </cell>
          <cell r="W2284">
            <v>0</v>
          </cell>
          <cell r="X2284">
            <v>0</v>
          </cell>
          <cell r="Y2284">
            <v>0</v>
          </cell>
          <cell r="Z2284">
            <v>2678.1833329272922</v>
          </cell>
        </row>
        <row r="2285">
          <cell r="C2285" t="str">
            <v>EDİRNE</v>
          </cell>
          <cell r="D2285" t="str">
            <v>İPSALA</v>
          </cell>
          <cell r="H2285" t="str">
            <v>Dağıtım-AG</v>
          </cell>
          <cell r="I2285" t="str">
            <v>Uzun</v>
          </cell>
          <cell r="J2285" t="str">
            <v>Şebeke işletmecisi</v>
          </cell>
          <cell r="K2285" t="str">
            <v>Bildirimsiz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1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26.500000002561137</v>
          </cell>
        </row>
        <row r="2286">
          <cell r="C2286" t="str">
            <v>KIRKLARELİ</v>
          </cell>
          <cell r="D2286" t="str">
            <v>KIRKLARELİMERKEZ</v>
          </cell>
          <cell r="H2286" t="str">
            <v>Dağıtım-OG</v>
          </cell>
          <cell r="I2286" t="str">
            <v>Uzun</v>
          </cell>
          <cell r="J2286" t="str">
            <v>Şebeke işletmecisi</v>
          </cell>
          <cell r="K2286" t="str">
            <v>Bildirimsiz</v>
          </cell>
          <cell r="O2286">
            <v>13</v>
          </cell>
          <cell r="P2286">
            <v>96</v>
          </cell>
          <cell r="Q2286">
            <v>1</v>
          </cell>
          <cell r="R2286">
            <v>0</v>
          </cell>
          <cell r="S2286">
            <v>0</v>
          </cell>
          <cell r="T2286">
            <v>1</v>
          </cell>
          <cell r="U2286">
            <v>343.20000000181608</v>
          </cell>
          <cell r="V2286">
            <v>2534.400000013411</v>
          </cell>
          <cell r="W2286">
            <v>26.400000000139698</v>
          </cell>
          <cell r="X2286">
            <v>0</v>
          </cell>
          <cell r="Y2286">
            <v>0</v>
          </cell>
          <cell r="Z2286">
            <v>26.400000000139698</v>
          </cell>
        </row>
        <row r="2287">
          <cell r="C2287" t="str">
            <v>TEKİRDAĞ</v>
          </cell>
          <cell r="D2287" t="str">
            <v>MARMARAEREĞLİSİ</v>
          </cell>
          <cell r="H2287" t="str">
            <v>Dağıtım-AG</v>
          </cell>
          <cell r="I2287" t="str">
            <v>Uzun</v>
          </cell>
          <cell r="J2287" t="str">
            <v>Şebeke işletmecisi</v>
          </cell>
          <cell r="K2287" t="str">
            <v>Bildirimsiz</v>
          </cell>
          <cell r="O2287">
            <v>0</v>
          </cell>
          <cell r="P2287">
            <v>0</v>
          </cell>
          <cell r="Q2287">
            <v>0</v>
          </cell>
          <cell r="R2287">
            <v>1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26.316666668280959</v>
          </cell>
          <cell r="Y2287">
            <v>0</v>
          </cell>
          <cell r="Z2287">
            <v>0</v>
          </cell>
        </row>
        <row r="2288">
          <cell r="C2288" t="str">
            <v>KIRKLARELİ</v>
          </cell>
          <cell r="D2288" t="str">
            <v>KIRKLARELİMERKEZ</v>
          </cell>
          <cell r="H2288" t="str">
            <v>Dağıtım-AG</v>
          </cell>
          <cell r="I2288" t="str">
            <v>Uzun</v>
          </cell>
          <cell r="J2288" t="str">
            <v>Şebeke işletmecisi</v>
          </cell>
          <cell r="K2288" t="str">
            <v>Bildirimsiz</v>
          </cell>
          <cell r="O2288">
            <v>0</v>
          </cell>
          <cell r="P2288">
            <v>29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761.73333334503695</v>
          </cell>
          <cell r="W2288">
            <v>0</v>
          </cell>
          <cell r="X2288">
            <v>0</v>
          </cell>
          <cell r="Y2288">
            <v>0</v>
          </cell>
          <cell r="Z2288">
            <v>0</v>
          </cell>
        </row>
        <row r="2289">
          <cell r="C2289" t="str">
            <v>TEKİRDAĞ</v>
          </cell>
          <cell r="D2289" t="str">
            <v>MARMARAEREĞLİSİ</v>
          </cell>
          <cell r="H2289" t="str">
            <v>Dağıtım-AG</v>
          </cell>
          <cell r="I2289" t="str">
            <v>Uzun</v>
          </cell>
          <cell r="J2289" t="str">
            <v>Şebeke işletmecisi</v>
          </cell>
          <cell r="K2289" t="str">
            <v>Bildirimsiz</v>
          </cell>
          <cell r="O2289">
            <v>0</v>
          </cell>
          <cell r="P2289">
            <v>0</v>
          </cell>
          <cell r="Q2289">
            <v>0</v>
          </cell>
          <cell r="R2289">
            <v>1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26.21666666585952</v>
          </cell>
          <cell r="Y2289">
            <v>0</v>
          </cell>
          <cell r="Z2289">
            <v>0</v>
          </cell>
        </row>
        <row r="2290">
          <cell r="C2290" t="str">
            <v>EDİRNE</v>
          </cell>
          <cell r="D2290" t="str">
            <v>İPSALA</v>
          </cell>
          <cell r="H2290" t="str">
            <v>Dağıtım-AG</v>
          </cell>
          <cell r="I2290" t="str">
            <v>Uzun</v>
          </cell>
          <cell r="J2290" t="str">
            <v>Şebeke işletmecisi</v>
          </cell>
          <cell r="K2290" t="str">
            <v>Bildirimsiz</v>
          </cell>
          <cell r="O2290">
            <v>0</v>
          </cell>
          <cell r="P2290">
            <v>0</v>
          </cell>
          <cell r="Q2290">
            <v>0</v>
          </cell>
          <cell r="R2290">
            <v>64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1677.8666666150093</v>
          </cell>
          <cell r="Y2290">
            <v>0</v>
          </cell>
          <cell r="Z2290">
            <v>0</v>
          </cell>
        </row>
        <row r="2291">
          <cell r="C2291" t="str">
            <v>EDİRNE</v>
          </cell>
          <cell r="D2291" t="str">
            <v>ENEZ</v>
          </cell>
          <cell r="H2291" t="str">
            <v>Dağıtım-OG</v>
          </cell>
          <cell r="I2291" t="str">
            <v>Uzun</v>
          </cell>
          <cell r="J2291" t="str">
            <v>Şebeke İşletmecisi</v>
          </cell>
          <cell r="K2291" t="str">
            <v>Bildirimsiz</v>
          </cell>
          <cell r="O2291">
            <v>0</v>
          </cell>
          <cell r="P2291">
            <v>0</v>
          </cell>
          <cell r="Q2291">
            <v>15</v>
          </cell>
          <cell r="R2291">
            <v>0</v>
          </cell>
          <cell r="S2291">
            <v>3</v>
          </cell>
          <cell r="T2291">
            <v>0</v>
          </cell>
          <cell r="U2291">
            <v>0</v>
          </cell>
          <cell r="V2291">
            <v>0</v>
          </cell>
          <cell r="W2291">
            <v>393.000000086613</v>
          </cell>
          <cell r="X2291">
            <v>0</v>
          </cell>
          <cell r="Y2291">
            <v>78.6000000173226</v>
          </cell>
          <cell r="Z2291">
            <v>0</v>
          </cell>
        </row>
        <row r="2292">
          <cell r="C2292" t="str">
            <v>EDİRNE</v>
          </cell>
          <cell r="D2292" t="str">
            <v>HAVSA</v>
          </cell>
          <cell r="H2292" t="str">
            <v>Dağıtım-OG</v>
          </cell>
          <cell r="I2292" t="str">
            <v>Uzun</v>
          </cell>
          <cell r="J2292" t="str">
            <v>Şebeke işletmecisi</v>
          </cell>
          <cell r="K2292" t="str">
            <v>Bildirimsiz</v>
          </cell>
          <cell r="O2292">
            <v>3</v>
          </cell>
          <cell r="P2292">
            <v>160</v>
          </cell>
          <cell r="Q2292">
            <v>10</v>
          </cell>
          <cell r="R2292">
            <v>291</v>
          </cell>
          <cell r="S2292">
            <v>28</v>
          </cell>
          <cell r="T2292">
            <v>2566</v>
          </cell>
          <cell r="U2292">
            <v>78.599999985890463</v>
          </cell>
          <cell r="V2292">
            <v>4191.9999992474914</v>
          </cell>
          <cell r="W2292">
            <v>261.99999995296821</v>
          </cell>
          <cell r="X2292">
            <v>7624.1999986313749</v>
          </cell>
          <cell r="Y2292">
            <v>733.59999986831099</v>
          </cell>
          <cell r="Z2292">
            <v>67229.199987931643</v>
          </cell>
        </row>
        <row r="2293">
          <cell r="C2293" t="str">
            <v>TEKİRDAĞ</v>
          </cell>
          <cell r="D2293" t="str">
            <v>SÜLEYMANPAŞA</v>
          </cell>
          <cell r="H2293" t="str">
            <v>Dağıtım-AG</v>
          </cell>
          <cell r="I2293" t="str">
            <v>Uzun</v>
          </cell>
          <cell r="J2293" t="str">
            <v>Şebeke işletmecisi</v>
          </cell>
          <cell r="K2293" t="str">
            <v>Bildirimsiz</v>
          </cell>
          <cell r="O2293">
            <v>0</v>
          </cell>
          <cell r="P2293">
            <v>4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104.79999998118728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</row>
        <row r="2294">
          <cell r="C2294" t="str">
            <v>KIRKLARELİ</v>
          </cell>
          <cell r="D2294" t="str">
            <v>BABAESKİ</v>
          </cell>
          <cell r="H2294" t="str">
            <v>Dağıtım-AG</v>
          </cell>
          <cell r="I2294" t="str">
            <v>Uzun</v>
          </cell>
          <cell r="J2294" t="str">
            <v>Şebeke işletmecisi</v>
          </cell>
          <cell r="K2294" t="str">
            <v>Bildirimsiz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6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157.19999997178093</v>
          </cell>
        </row>
        <row r="2295">
          <cell r="C2295" t="str">
            <v>EDİRNE</v>
          </cell>
          <cell r="D2295" t="str">
            <v>EDİRNEMERKEZ</v>
          </cell>
          <cell r="H2295" t="str">
            <v>Dağıtım-AG</v>
          </cell>
          <cell r="I2295" t="str">
            <v>Uzun</v>
          </cell>
          <cell r="J2295" t="str">
            <v>Şebeke işletmecisi</v>
          </cell>
          <cell r="K2295" t="str">
            <v>Bildirimsiz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107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2799.8333331174217</v>
          </cell>
        </row>
        <row r="2296">
          <cell r="C2296" t="str">
            <v>EDİRNE</v>
          </cell>
          <cell r="D2296" t="str">
            <v>UZUNKÖPRÜ</v>
          </cell>
          <cell r="H2296" t="str">
            <v>Dağıtım-AG</v>
          </cell>
          <cell r="I2296" t="str">
            <v>Uzun</v>
          </cell>
          <cell r="J2296" t="str">
            <v>Şebeke işletmecisi</v>
          </cell>
          <cell r="K2296" t="str">
            <v>Bildirimsiz</v>
          </cell>
          <cell r="O2296">
            <v>0</v>
          </cell>
          <cell r="P2296">
            <v>9</v>
          </cell>
          <cell r="Q2296">
            <v>0</v>
          </cell>
          <cell r="R2296">
            <v>0</v>
          </cell>
          <cell r="S2296">
            <v>0</v>
          </cell>
          <cell r="T2296">
            <v>20</v>
          </cell>
          <cell r="U2296">
            <v>0</v>
          </cell>
          <cell r="V2296">
            <v>235.20000000600703</v>
          </cell>
          <cell r="W2296">
            <v>0</v>
          </cell>
          <cell r="X2296">
            <v>0</v>
          </cell>
          <cell r="Y2296">
            <v>0</v>
          </cell>
          <cell r="Z2296">
            <v>522.66666668001562</v>
          </cell>
        </row>
        <row r="2297">
          <cell r="C2297" t="str">
            <v>EDİRNE</v>
          </cell>
          <cell r="D2297" t="str">
            <v>ENEZ</v>
          </cell>
          <cell r="H2297" t="str">
            <v>Dağıtım-AG</v>
          </cell>
          <cell r="I2297" t="str">
            <v>Uzun</v>
          </cell>
          <cell r="J2297" t="str">
            <v>Şebeke işletmecisi</v>
          </cell>
          <cell r="K2297" t="str">
            <v>Bildirimsiz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2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52.200000006705523</v>
          </cell>
        </row>
        <row r="2298">
          <cell r="C2298" t="str">
            <v>KIRKLARELİ</v>
          </cell>
          <cell r="D2298" t="str">
            <v>BABAESKİ</v>
          </cell>
          <cell r="H2298" t="str">
            <v>Dağıtım-OG</v>
          </cell>
          <cell r="I2298" t="str">
            <v>Uzun</v>
          </cell>
          <cell r="J2298" t="str">
            <v>Şebeke işletmecisi</v>
          </cell>
          <cell r="K2298" t="str">
            <v>Bildirimsiz</v>
          </cell>
          <cell r="O2298">
            <v>1</v>
          </cell>
          <cell r="P2298">
            <v>0</v>
          </cell>
          <cell r="Q2298">
            <v>0</v>
          </cell>
          <cell r="R2298">
            <v>3</v>
          </cell>
          <cell r="S2298">
            <v>2</v>
          </cell>
          <cell r="T2298">
            <v>584</v>
          </cell>
          <cell r="U2298">
            <v>26.100000003352761</v>
          </cell>
          <cell r="V2298">
            <v>0</v>
          </cell>
          <cell r="W2298">
            <v>0</v>
          </cell>
          <cell r="X2298">
            <v>78.300000010058284</v>
          </cell>
          <cell r="Y2298">
            <v>52.200000006705523</v>
          </cell>
          <cell r="Z2298">
            <v>15242.400001958013</v>
          </cell>
        </row>
        <row r="2299">
          <cell r="C2299" t="str">
            <v>KIRKLARELİ</v>
          </cell>
          <cell r="D2299" t="str">
            <v>KIRKLARELİMERKEZ</v>
          </cell>
          <cell r="H2299" t="str">
            <v>Dağıtım-OG</v>
          </cell>
          <cell r="I2299" t="str">
            <v>Uzun</v>
          </cell>
          <cell r="J2299" t="str">
            <v>Şebeke İşletmecisi</v>
          </cell>
          <cell r="K2299" t="str">
            <v>Bildirimsiz</v>
          </cell>
          <cell r="O2299">
            <v>0</v>
          </cell>
          <cell r="P2299">
            <v>0</v>
          </cell>
          <cell r="Q2299">
            <v>5</v>
          </cell>
          <cell r="R2299">
            <v>0</v>
          </cell>
          <cell r="S2299">
            <v>9</v>
          </cell>
          <cell r="T2299">
            <v>668</v>
          </cell>
          <cell r="U2299">
            <v>0</v>
          </cell>
          <cell r="V2299">
            <v>0</v>
          </cell>
          <cell r="W2299">
            <v>130.08333335747011</v>
          </cell>
          <cell r="X2299">
            <v>0</v>
          </cell>
          <cell r="Y2299">
            <v>234.1500000434462</v>
          </cell>
          <cell r="Z2299">
            <v>17379.133336558007</v>
          </cell>
        </row>
        <row r="2300">
          <cell r="C2300" t="str">
            <v>TEKİRDAĞ</v>
          </cell>
          <cell r="D2300" t="str">
            <v>MARMARAEREĞLİSİ</v>
          </cell>
          <cell r="H2300" t="str">
            <v>Dağıtım-AG</v>
          </cell>
          <cell r="I2300" t="str">
            <v>Uzun</v>
          </cell>
          <cell r="J2300" t="str">
            <v>Şebeke işletmecisi</v>
          </cell>
          <cell r="K2300" t="str">
            <v>Bildirimsiz</v>
          </cell>
          <cell r="O2300">
            <v>0</v>
          </cell>
          <cell r="P2300">
            <v>0</v>
          </cell>
          <cell r="Q2300">
            <v>0</v>
          </cell>
          <cell r="R2300">
            <v>1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26.016666661016643</v>
          </cell>
          <cell r="Y2300">
            <v>0</v>
          </cell>
          <cell r="Z2300">
            <v>0</v>
          </cell>
        </row>
        <row r="2301">
          <cell r="C2301" t="str">
            <v>TEKİRDAĞ</v>
          </cell>
          <cell r="D2301" t="str">
            <v>SÜLEYMANPAŞA</v>
          </cell>
          <cell r="H2301" t="str">
            <v>Dağıtım-AG</v>
          </cell>
          <cell r="I2301" t="str">
            <v>Uzun</v>
          </cell>
          <cell r="J2301" t="str">
            <v>Şebeke işletmecisi</v>
          </cell>
          <cell r="K2301" t="str">
            <v>Bildirimsiz</v>
          </cell>
          <cell r="O2301">
            <v>0</v>
          </cell>
          <cell r="P2301">
            <v>17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442.28333323728293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</row>
        <row r="2302">
          <cell r="C2302" t="str">
            <v>EDİRNE</v>
          </cell>
          <cell r="D2302" t="str">
            <v>HAVSA</v>
          </cell>
          <cell r="H2302" t="str">
            <v>Dağıtım-OG</v>
          </cell>
          <cell r="I2302" t="str">
            <v>Uzun</v>
          </cell>
          <cell r="J2302" t="str">
            <v>Şebeke işletmecisi</v>
          </cell>
          <cell r="K2302" t="str">
            <v>Bildirimsiz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89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2314.0000000828877</v>
          </cell>
        </row>
        <row r="2303">
          <cell r="C2303" t="str">
            <v>KIRKLARELİ</v>
          </cell>
          <cell r="D2303" t="str">
            <v>DEMİRKÖY</v>
          </cell>
          <cell r="H2303" t="str">
            <v>Dağıtım-OG</v>
          </cell>
          <cell r="I2303" t="str">
            <v>Uzun</v>
          </cell>
          <cell r="J2303" t="str">
            <v>Şebeke işletmecisi</v>
          </cell>
          <cell r="K2303" t="str">
            <v>Bildirimsiz</v>
          </cell>
          <cell r="O2303">
            <v>0</v>
          </cell>
          <cell r="P2303">
            <v>0</v>
          </cell>
          <cell r="Q2303">
            <v>0</v>
          </cell>
          <cell r="R2303">
            <v>1</v>
          </cell>
          <cell r="S2303">
            <v>2</v>
          </cell>
          <cell r="T2303">
            <v>439</v>
          </cell>
          <cell r="U2303">
            <v>0</v>
          </cell>
          <cell r="V2303">
            <v>0</v>
          </cell>
          <cell r="W2303">
            <v>0</v>
          </cell>
          <cell r="X2303">
            <v>25.966666670283303</v>
          </cell>
          <cell r="Y2303">
            <v>51.933333340566605</v>
          </cell>
          <cell r="Z2303">
            <v>11399.36666825437</v>
          </cell>
        </row>
        <row r="2304">
          <cell r="C2304" t="str">
            <v>EDİRNE</v>
          </cell>
          <cell r="D2304" t="str">
            <v>UZUNKÖPRÜ</v>
          </cell>
          <cell r="H2304" t="str">
            <v>Dağıtım-AG</v>
          </cell>
          <cell r="I2304" t="str">
            <v>Uzun</v>
          </cell>
          <cell r="J2304" t="str">
            <v>Şebeke işletmecisi</v>
          </cell>
          <cell r="K2304" t="str">
            <v>Bildirimsiz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184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>
            <v>0</v>
          </cell>
          <cell r="Z2304">
            <v>4762.5333342701197</v>
          </cell>
        </row>
        <row r="2305">
          <cell r="C2305" t="str">
            <v>TEKİRDAĞ</v>
          </cell>
          <cell r="D2305" t="str">
            <v>MARMARAEREĞLİSİ</v>
          </cell>
          <cell r="H2305" t="str">
            <v>Dağıtım-AG</v>
          </cell>
          <cell r="I2305" t="str">
            <v>Uzun</v>
          </cell>
          <cell r="J2305" t="str">
            <v>Şebeke işletmecisi</v>
          </cell>
          <cell r="K2305" t="str">
            <v>Bildirimsiz</v>
          </cell>
          <cell r="O2305">
            <v>0</v>
          </cell>
          <cell r="P2305">
            <v>24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620.80000002868474</v>
          </cell>
          <cell r="W2305">
            <v>0</v>
          </cell>
          <cell r="X2305">
            <v>0</v>
          </cell>
          <cell r="Y2305">
            <v>0</v>
          </cell>
          <cell r="Z2305">
            <v>0</v>
          </cell>
        </row>
        <row r="2306">
          <cell r="C2306" t="str">
            <v>TEKİRDAĞ</v>
          </cell>
          <cell r="D2306" t="str">
            <v>SÜLEYMANPAŞA</v>
          </cell>
          <cell r="H2306" t="str">
            <v>Dağıtım-AG</v>
          </cell>
          <cell r="I2306" t="str">
            <v>Uzun</v>
          </cell>
          <cell r="J2306" t="str">
            <v>Şebeke işletmecisi</v>
          </cell>
          <cell r="K2306" t="str">
            <v>Bildirimsiz</v>
          </cell>
          <cell r="O2306">
            <v>0</v>
          </cell>
          <cell r="P2306">
            <v>164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4242.1333335293457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</row>
        <row r="2307">
          <cell r="C2307" t="str">
            <v>EDİRNE</v>
          </cell>
          <cell r="D2307" t="str">
            <v>KEŞAN</v>
          </cell>
          <cell r="H2307" t="str">
            <v>Dağıtım-AG</v>
          </cell>
          <cell r="I2307" t="str">
            <v>Uzun</v>
          </cell>
          <cell r="J2307" t="str">
            <v>Şebeke işletmecisi</v>
          </cell>
          <cell r="K2307" t="str">
            <v>Bildirimsiz</v>
          </cell>
          <cell r="O2307">
            <v>0</v>
          </cell>
          <cell r="P2307">
            <v>159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4107.5000006170012</v>
          </cell>
          <cell r="W2307">
            <v>0</v>
          </cell>
          <cell r="X2307">
            <v>0</v>
          </cell>
          <cell r="Y2307">
            <v>0</v>
          </cell>
          <cell r="Z2307">
            <v>0</v>
          </cell>
        </row>
        <row r="2308">
          <cell r="C2308" t="str">
            <v>KIRKLARELİ</v>
          </cell>
          <cell r="D2308" t="str">
            <v>KIRKLARELİMERKEZ</v>
          </cell>
          <cell r="H2308" t="str">
            <v>Dağıtım-OG</v>
          </cell>
          <cell r="I2308" t="str">
            <v>Uzun</v>
          </cell>
          <cell r="J2308" t="str">
            <v>Şebeke işletmecisi</v>
          </cell>
          <cell r="K2308" t="str">
            <v>Bildirimsiz</v>
          </cell>
          <cell r="O2308">
            <v>3</v>
          </cell>
          <cell r="P2308">
            <v>0</v>
          </cell>
          <cell r="Q2308">
            <v>1</v>
          </cell>
          <cell r="R2308">
            <v>0</v>
          </cell>
          <cell r="S2308">
            <v>1</v>
          </cell>
          <cell r="T2308">
            <v>0</v>
          </cell>
          <cell r="U2308">
            <v>77.449999999953434</v>
          </cell>
          <cell r="V2308">
            <v>0</v>
          </cell>
          <cell r="W2308">
            <v>25.816666666651145</v>
          </cell>
          <cell r="X2308">
            <v>0</v>
          </cell>
          <cell r="Y2308">
            <v>25.816666666651145</v>
          </cell>
          <cell r="Z2308">
            <v>0</v>
          </cell>
        </row>
        <row r="2309">
          <cell r="C2309" t="str">
            <v>EDİRNE</v>
          </cell>
          <cell r="D2309" t="str">
            <v>EDİRNEMERKEZ</v>
          </cell>
          <cell r="H2309" t="str">
            <v>Dağıtım-OG</v>
          </cell>
          <cell r="I2309" t="str">
            <v>Uzun</v>
          </cell>
          <cell r="J2309" t="str">
            <v>Şebeke işletmecisi</v>
          </cell>
          <cell r="K2309" t="str">
            <v>Bildirimsiz</v>
          </cell>
          <cell r="O2309">
            <v>4</v>
          </cell>
          <cell r="P2309">
            <v>1</v>
          </cell>
          <cell r="Q2309">
            <v>0</v>
          </cell>
          <cell r="R2309">
            <v>0</v>
          </cell>
          <cell r="S2309">
            <v>4</v>
          </cell>
          <cell r="T2309">
            <v>0</v>
          </cell>
          <cell r="U2309">
            <v>102.66666665207595</v>
          </cell>
          <cell r="V2309">
            <v>25.666666663018987</v>
          </cell>
          <cell r="W2309">
            <v>0</v>
          </cell>
          <cell r="X2309">
            <v>0</v>
          </cell>
          <cell r="Y2309">
            <v>102.66666665207595</v>
          </cell>
          <cell r="Z2309">
            <v>0</v>
          </cell>
        </row>
        <row r="2310">
          <cell r="C2310" t="str">
            <v>EDİRNE</v>
          </cell>
          <cell r="D2310" t="str">
            <v>KEŞAN</v>
          </cell>
          <cell r="H2310" t="str">
            <v>Dağıtım-AG</v>
          </cell>
          <cell r="I2310" t="str">
            <v>Uzun</v>
          </cell>
          <cell r="J2310" t="str">
            <v>Şebeke işletmecisi</v>
          </cell>
          <cell r="K2310" t="str">
            <v>Bildirimsiz</v>
          </cell>
          <cell r="O2310">
            <v>0</v>
          </cell>
          <cell r="P2310">
            <v>4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102.46666668914258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</row>
        <row r="2311">
          <cell r="C2311" t="str">
            <v>EDİRNE</v>
          </cell>
          <cell r="D2311" t="str">
            <v>ENEZ</v>
          </cell>
          <cell r="H2311" t="str">
            <v>Dağıtım-OG</v>
          </cell>
          <cell r="I2311" t="str">
            <v>Uzun</v>
          </cell>
          <cell r="J2311" t="str">
            <v>Şebeke işletmecisi</v>
          </cell>
          <cell r="K2311" t="str">
            <v>Bildirimsiz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27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691.20000004651956</v>
          </cell>
          <cell r="Z2311">
            <v>0</v>
          </cell>
        </row>
        <row r="2312">
          <cell r="C2312" t="str">
            <v>EDİRNE</v>
          </cell>
          <cell r="D2312" t="str">
            <v>UZUNKÖPRÜ</v>
          </cell>
          <cell r="H2312" t="str">
            <v>Dağıtım-AG</v>
          </cell>
          <cell r="I2312" t="str">
            <v>Uzun</v>
          </cell>
          <cell r="J2312" t="str">
            <v>Şebeke işletmecisi</v>
          </cell>
          <cell r="K2312" t="str">
            <v>Bildirimsiz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37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945.96666644210927</v>
          </cell>
        </row>
        <row r="2313">
          <cell r="C2313" t="str">
            <v>EDİRNE</v>
          </cell>
          <cell r="D2313" t="str">
            <v>UZUNKÖPRÜ</v>
          </cell>
          <cell r="H2313" t="str">
            <v>Dağıtım-AG</v>
          </cell>
          <cell r="I2313" t="str">
            <v>Uzun</v>
          </cell>
          <cell r="J2313" t="str">
            <v>Şebeke işletmecisi</v>
          </cell>
          <cell r="K2313" t="str">
            <v>Bildirimsiz</v>
          </cell>
          <cell r="O2313">
            <v>0</v>
          </cell>
          <cell r="P2313">
            <v>1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25.533333340426907</v>
          </cell>
          <cell r="W2313">
            <v>0</v>
          </cell>
          <cell r="X2313">
            <v>0</v>
          </cell>
          <cell r="Y2313">
            <v>0</v>
          </cell>
          <cell r="Z2313">
            <v>0</v>
          </cell>
        </row>
        <row r="2314">
          <cell r="C2314" t="str">
            <v>KIRKLARELİ</v>
          </cell>
          <cell r="D2314" t="str">
            <v>DEMİRKÖY</v>
          </cell>
          <cell r="H2314" t="str">
            <v>Dağıtım-AG</v>
          </cell>
          <cell r="I2314" t="str">
            <v>Uzun</v>
          </cell>
          <cell r="J2314" t="str">
            <v>Şebeke işletmecisi</v>
          </cell>
          <cell r="K2314" t="str">
            <v>Bildirimsiz</v>
          </cell>
          <cell r="O2314">
            <v>0</v>
          </cell>
          <cell r="P2314">
            <v>0</v>
          </cell>
          <cell r="Q2314">
            <v>0</v>
          </cell>
          <cell r="R2314">
            <v>1</v>
          </cell>
          <cell r="S2314">
            <v>0</v>
          </cell>
          <cell r="T2314">
            <v>62</v>
          </cell>
          <cell r="U2314">
            <v>0</v>
          </cell>
          <cell r="V2314">
            <v>0</v>
          </cell>
          <cell r="W2314">
            <v>0</v>
          </cell>
          <cell r="X2314">
            <v>25.533333329949528</v>
          </cell>
          <cell r="Y2314">
            <v>0</v>
          </cell>
          <cell r="Z2314">
            <v>1583.0666664568707</v>
          </cell>
        </row>
        <row r="2315">
          <cell r="C2315" t="str">
            <v>EDİRNE</v>
          </cell>
          <cell r="D2315" t="str">
            <v>ENEZ</v>
          </cell>
          <cell r="H2315" t="str">
            <v>Dağıtım-AG</v>
          </cell>
          <cell r="I2315" t="str">
            <v>Uzun</v>
          </cell>
          <cell r="J2315" t="str">
            <v>Şebeke işletmecisi</v>
          </cell>
          <cell r="K2315" t="str">
            <v>Bildirimsiz</v>
          </cell>
          <cell r="O2315">
            <v>0</v>
          </cell>
          <cell r="P2315">
            <v>0</v>
          </cell>
          <cell r="Q2315">
            <v>0</v>
          </cell>
          <cell r="R2315">
            <v>34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866.99999997625127</v>
          </cell>
          <cell r="Y2315">
            <v>0</v>
          </cell>
          <cell r="Z2315">
            <v>0</v>
          </cell>
        </row>
        <row r="2316">
          <cell r="C2316" t="str">
            <v>EDİRNE</v>
          </cell>
          <cell r="D2316" t="str">
            <v>KEŞAN</v>
          </cell>
          <cell r="H2316" t="str">
            <v>Dağıtım-AG</v>
          </cell>
          <cell r="I2316" t="str">
            <v>Uzun</v>
          </cell>
          <cell r="J2316" t="str">
            <v>Şebeke işletmecisi</v>
          </cell>
          <cell r="K2316" t="str">
            <v>Bildirimsiz</v>
          </cell>
          <cell r="O2316">
            <v>0</v>
          </cell>
          <cell r="P2316">
            <v>82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2088.266666829586</v>
          </cell>
          <cell r="W2316">
            <v>0</v>
          </cell>
          <cell r="X2316">
            <v>0</v>
          </cell>
          <cell r="Y2316">
            <v>0</v>
          </cell>
          <cell r="Z2316">
            <v>0</v>
          </cell>
        </row>
        <row r="2317">
          <cell r="C2317" t="str">
            <v>TEKİRDAĞ</v>
          </cell>
          <cell r="D2317" t="str">
            <v>MARMARAEREĞLİSİ</v>
          </cell>
          <cell r="H2317" t="str">
            <v>Dağıtım-OG</v>
          </cell>
          <cell r="I2317" t="str">
            <v>Uzun</v>
          </cell>
          <cell r="J2317" t="str">
            <v>Şebeke işletmecisi</v>
          </cell>
          <cell r="K2317" t="str">
            <v>Bildirimli</v>
          </cell>
          <cell r="O2317">
            <v>0</v>
          </cell>
          <cell r="P2317">
            <v>12</v>
          </cell>
          <cell r="Q2317">
            <v>19</v>
          </cell>
          <cell r="R2317">
            <v>2585</v>
          </cell>
          <cell r="S2317">
            <v>0</v>
          </cell>
          <cell r="T2317">
            <v>0</v>
          </cell>
          <cell r="U2317">
            <v>0</v>
          </cell>
          <cell r="V2317">
            <v>305.60000002384186</v>
          </cell>
          <cell r="W2317">
            <v>483.86666670441628</v>
          </cell>
          <cell r="X2317">
            <v>65831.333338469267</v>
          </cell>
          <cell r="Y2317">
            <v>0</v>
          </cell>
          <cell r="Z2317">
            <v>0</v>
          </cell>
        </row>
        <row r="2318">
          <cell r="C2318" t="str">
            <v>TEKİRDAĞ</v>
          </cell>
          <cell r="D2318" t="str">
            <v>MURATLI</v>
          </cell>
          <cell r="H2318" t="str">
            <v>Dağıtım-AG</v>
          </cell>
          <cell r="I2318" t="str">
            <v>Uzun</v>
          </cell>
          <cell r="J2318" t="str">
            <v>Şebeke işletmecisi</v>
          </cell>
          <cell r="K2318" t="str">
            <v>Bildirimsiz</v>
          </cell>
          <cell r="O2318">
            <v>0</v>
          </cell>
          <cell r="P2318">
            <v>5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127.16666669002734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</row>
        <row r="2319">
          <cell r="C2319" t="str">
            <v>TEKİRDAĞ</v>
          </cell>
          <cell r="D2319" t="str">
            <v>MARMARAEREĞLİSİ</v>
          </cell>
          <cell r="H2319" t="str">
            <v>Dağıtım-OG</v>
          </cell>
          <cell r="I2319" t="str">
            <v>Uzun</v>
          </cell>
          <cell r="J2319" t="str">
            <v>Şebeke işletmecisi</v>
          </cell>
          <cell r="K2319" t="str">
            <v>Bildirimli</v>
          </cell>
          <cell r="O2319">
            <v>0</v>
          </cell>
          <cell r="P2319">
            <v>1</v>
          </cell>
          <cell r="Q2319">
            <v>5</v>
          </cell>
          <cell r="R2319">
            <v>85</v>
          </cell>
          <cell r="S2319">
            <v>0</v>
          </cell>
          <cell r="T2319">
            <v>0</v>
          </cell>
          <cell r="U2319">
            <v>0</v>
          </cell>
          <cell r="V2319">
            <v>25.416666667442769</v>
          </cell>
          <cell r="W2319">
            <v>127.08333333721384</v>
          </cell>
          <cell r="X2319">
            <v>2160.4166667326353</v>
          </cell>
          <cell r="Y2319">
            <v>0</v>
          </cell>
          <cell r="Z2319">
            <v>0</v>
          </cell>
        </row>
        <row r="2320">
          <cell r="C2320" t="str">
            <v>EDİRNE</v>
          </cell>
          <cell r="D2320" t="str">
            <v>KEŞAN</v>
          </cell>
          <cell r="H2320" t="str">
            <v>Dağıtım-AG</v>
          </cell>
          <cell r="I2320" t="str">
            <v>Uzun</v>
          </cell>
          <cell r="J2320" t="str">
            <v>Şebeke işletmecisi</v>
          </cell>
          <cell r="K2320" t="str">
            <v>Bildirimsiz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26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660.3999999188818</v>
          </cell>
        </row>
        <row r="2321">
          <cell r="C2321" t="str">
            <v>KIRKLARELİ</v>
          </cell>
          <cell r="D2321" t="str">
            <v>PINARHİSAR</v>
          </cell>
          <cell r="H2321" t="str">
            <v>Dağıtım-OG</v>
          </cell>
          <cell r="I2321" t="str">
            <v>Uzun</v>
          </cell>
          <cell r="J2321" t="str">
            <v>Şebeke işletmecisi</v>
          </cell>
          <cell r="K2321" t="str">
            <v>Bildirimsiz</v>
          </cell>
          <cell r="O2321">
            <v>0</v>
          </cell>
          <cell r="P2321">
            <v>0</v>
          </cell>
          <cell r="Q2321">
            <v>1</v>
          </cell>
          <cell r="R2321">
            <v>271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25.31666666502133</v>
          </cell>
          <cell r="X2321">
            <v>6860.8166662207805</v>
          </cell>
          <cell r="Y2321">
            <v>0</v>
          </cell>
          <cell r="Z2321">
            <v>0</v>
          </cell>
        </row>
        <row r="2322">
          <cell r="C2322" t="str">
            <v>KIRKLARELİ</v>
          </cell>
          <cell r="D2322" t="str">
            <v>BABAESKİ</v>
          </cell>
          <cell r="H2322" t="str">
            <v>Dağıtım-AG</v>
          </cell>
          <cell r="I2322" t="str">
            <v>Uzun</v>
          </cell>
          <cell r="J2322" t="str">
            <v>Şebeke işletmecisi</v>
          </cell>
          <cell r="K2322" t="str">
            <v>Bildirimsiz</v>
          </cell>
          <cell r="O2322">
            <v>0</v>
          </cell>
          <cell r="P2322">
            <v>0</v>
          </cell>
          <cell r="Q2322">
            <v>0</v>
          </cell>
          <cell r="R2322">
            <v>72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1822.7999998815358</v>
          </cell>
          <cell r="Y2322">
            <v>0</v>
          </cell>
          <cell r="Z2322">
            <v>0</v>
          </cell>
        </row>
        <row r="2323">
          <cell r="C2323" t="str">
            <v>TEKİRDAĞ</v>
          </cell>
          <cell r="D2323" t="str">
            <v>SÜLEYMANPAŞA</v>
          </cell>
          <cell r="H2323" t="str">
            <v>Dağıtım-AG</v>
          </cell>
          <cell r="I2323" t="str">
            <v>Uzun</v>
          </cell>
          <cell r="J2323" t="str">
            <v>Şebeke işletmecisi</v>
          </cell>
          <cell r="K2323" t="str">
            <v>Bildirimsiz</v>
          </cell>
          <cell r="O2323">
            <v>0</v>
          </cell>
          <cell r="P2323">
            <v>18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455.40000008884817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</row>
        <row r="2324">
          <cell r="C2324" t="str">
            <v>KIRKLARELİ</v>
          </cell>
          <cell r="D2324" t="str">
            <v>PINARHİSAR</v>
          </cell>
          <cell r="H2324" t="str">
            <v>Dağıtım-AG</v>
          </cell>
          <cell r="I2324" t="str">
            <v>Uzun</v>
          </cell>
          <cell r="J2324" t="str">
            <v>Şebeke işletmecisi</v>
          </cell>
          <cell r="K2324" t="str">
            <v>Bildirimsiz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161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4073.3000007946976</v>
          </cell>
        </row>
        <row r="2325">
          <cell r="C2325" t="str">
            <v>TEKİRDAĞ</v>
          </cell>
          <cell r="D2325" t="str">
            <v>MARMARAEREĞLİSİ</v>
          </cell>
          <cell r="H2325" t="str">
            <v>Dağıtım-OG</v>
          </cell>
          <cell r="I2325" t="str">
            <v>Uzun</v>
          </cell>
          <cell r="J2325" t="str">
            <v>Şebeke işletmecisi</v>
          </cell>
          <cell r="K2325" t="str">
            <v>Bildirimli</v>
          </cell>
          <cell r="O2325">
            <v>5</v>
          </cell>
          <cell r="P2325">
            <v>45</v>
          </cell>
          <cell r="Q2325">
            <v>39</v>
          </cell>
          <cell r="R2325">
            <v>9728</v>
          </cell>
          <cell r="S2325">
            <v>0</v>
          </cell>
          <cell r="T2325">
            <v>15</v>
          </cell>
          <cell r="U2325">
            <v>126.41666667186655</v>
          </cell>
          <cell r="V2325">
            <v>1137.750000046799</v>
          </cell>
          <cell r="W2325">
            <v>986.0500000405591</v>
          </cell>
          <cell r="X2325">
            <v>245956.26667678356</v>
          </cell>
          <cell r="Y2325">
            <v>0</v>
          </cell>
          <cell r="Z2325">
            <v>379.25000001559965</v>
          </cell>
        </row>
        <row r="2326">
          <cell r="C2326" t="str">
            <v>EDİRNE</v>
          </cell>
          <cell r="D2326" t="str">
            <v>UZUNKÖPRÜ</v>
          </cell>
          <cell r="H2326" t="str">
            <v>Dağıtım-AG</v>
          </cell>
          <cell r="I2326" t="str">
            <v>Uzun</v>
          </cell>
          <cell r="J2326" t="str">
            <v>Şebeke işletmecisi</v>
          </cell>
          <cell r="K2326" t="str">
            <v>Bildirimsiz</v>
          </cell>
          <cell r="O2326">
            <v>0</v>
          </cell>
          <cell r="P2326">
            <v>27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682.65000002807938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</row>
        <row r="2327">
          <cell r="C2327" t="str">
            <v>EDİRNE</v>
          </cell>
          <cell r="D2327" t="str">
            <v>KEŞAN</v>
          </cell>
          <cell r="H2327" t="str">
            <v>Dağıtım-AG</v>
          </cell>
          <cell r="I2327" t="str">
            <v>Uzun</v>
          </cell>
          <cell r="J2327" t="str">
            <v>Şebeke işletmecisi</v>
          </cell>
          <cell r="K2327" t="str">
            <v>Bildirimsiz</v>
          </cell>
          <cell r="O2327">
            <v>0</v>
          </cell>
          <cell r="P2327">
            <v>5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126.16666666581295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</row>
        <row r="2328">
          <cell r="C2328" t="str">
            <v>TEKİRDAĞ</v>
          </cell>
          <cell r="D2328" t="str">
            <v>SÜLEYMANPAŞA</v>
          </cell>
          <cell r="H2328" t="str">
            <v>Dağıtım-AG</v>
          </cell>
          <cell r="I2328" t="str">
            <v>Uzun</v>
          </cell>
          <cell r="J2328" t="str">
            <v>Şebeke işletmecisi</v>
          </cell>
          <cell r="K2328" t="str">
            <v>Bildirimsiz</v>
          </cell>
          <cell r="O2328">
            <v>0</v>
          </cell>
          <cell r="P2328">
            <v>16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402.93333331122994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</row>
        <row r="2329">
          <cell r="C2329" t="str">
            <v>TEKİRDAĞ</v>
          </cell>
          <cell r="D2329" t="str">
            <v>MARMARAEREĞLİSİ</v>
          </cell>
          <cell r="H2329" t="str">
            <v>Dağıtım-AG</v>
          </cell>
          <cell r="I2329" t="str">
            <v>Uzun</v>
          </cell>
          <cell r="J2329" t="str">
            <v>Şebeke işletmecisi</v>
          </cell>
          <cell r="K2329" t="str">
            <v>Bildirimsiz</v>
          </cell>
          <cell r="O2329">
            <v>0</v>
          </cell>
          <cell r="P2329">
            <v>2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50.366666663903743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</row>
        <row r="2330">
          <cell r="C2330" t="str">
            <v>TEKİRDAĞ</v>
          </cell>
          <cell r="D2330" t="str">
            <v>SÜLEYMANPAŞA</v>
          </cell>
          <cell r="H2330" t="str">
            <v>Dağıtım-AG</v>
          </cell>
          <cell r="I2330" t="str">
            <v>Uzun</v>
          </cell>
          <cell r="J2330" t="str">
            <v>Şebeke işletmecisi</v>
          </cell>
          <cell r="K2330" t="str">
            <v>Bildirimsiz</v>
          </cell>
          <cell r="O2330">
            <v>0</v>
          </cell>
          <cell r="P2330">
            <v>2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50.133333338890225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</row>
        <row r="2331">
          <cell r="C2331" t="str">
            <v>KIRKLARELİ</v>
          </cell>
          <cell r="D2331" t="str">
            <v>KIRKLARELİMERKEZ</v>
          </cell>
          <cell r="H2331" t="str">
            <v>Dağıtım-OG</v>
          </cell>
          <cell r="I2331" t="str">
            <v>Uzun</v>
          </cell>
          <cell r="J2331" t="str">
            <v>Şebeke işletmecisi</v>
          </cell>
          <cell r="K2331" t="str">
            <v>Bildirimsiz</v>
          </cell>
          <cell r="O2331">
            <v>13</v>
          </cell>
          <cell r="P2331">
            <v>96</v>
          </cell>
          <cell r="Q2331">
            <v>1</v>
          </cell>
          <cell r="R2331">
            <v>0</v>
          </cell>
          <cell r="S2331">
            <v>0</v>
          </cell>
          <cell r="T2331">
            <v>1</v>
          </cell>
          <cell r="U2331">
            <v>325.21666668704711</v>
          </cell>
          <cell r="V2331">
            <v>2401.6000001505017</v>
          </cell>
          <cell r="W2331">
            <v>25.016666668234393</v>
          </cell>
          <cell r="X2331">
            <v>0</v>
          </cell>
          <cell r="Y2331">
            <v>0</v>
          </cell>
          <cell r="Z2331">
            <v>25.016666668234393</v>
          </cell>
        </row>
        <row r="2332">
          <cell r="C2332" t="str">
            <v>EDİRNE</v>
          </cell>
          <cell r="D2332" t="str">
            <v>EDİRNEMERKEZ</v>
          </cell>
          <cell r="H2332" t="str">
            <v>Dağıtım-AG</v>
          </cell>
          <cell r="I2332" t="str">
            <v>Uzun</v>
          </cell>
          <cell r="J2332" t="str">
            <v>Şebeke işletmecisi</v>
          </cell>
          <cell r="K2332" t="str">
            <v>Bildirimsiz</v>
          </cell>
          <cell r="O2332">
            <v>0</v>
          </cell>
          <cell r="P2332">
            <v>33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825.00000026891939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</row>
        <row r="2333">
          <cell r="C2333" t="str">
            <v>EDİRNE</v>
          </cell>
          <cell r="D2333" t="str">
            <v>HAVSA</v>
          </cell>
          <cell r="H2333" t="str">
            <v>Dağıtım-OG</v>
          </cell>
          <cell r="I2333" t="str">
            <v>Uzun</v>
          </cell>
          <cell r="J2333" t="str">
            <v>Şebeke işletmecisi</v>
          </cell>
          <cell r="K2333" t="str">
            <v>Bildirimsiz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3</v>
          </cell>
          <cell r="T2333">
            <v>123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75.000000024447218</v>
          </cell>
          <cell r="Z2333">
            <v>3075.0000010023359</v>
          </cell>
        </row>
        <row r="2334">
          <cell r="C2334" t="str">
            <v>KIRKLARELİ</v>
          </cell>
          <cell r="D2334" t="str">
            <v>DEMİRKÖY</v>
          </cell>
          <cell r="H2334" t="str">
            <v>Dağıtım-AG</v>
          </cell>
          <cell r="I2334" t="str">
            <v>Uzun</v>
          </cell>
          <cell r="J2334" t="str">
            <v>Şebeke işletmecisi</v>
          </cell>
          <cell r="K2334" t="str">
            <v>Bildirimsiz</v>
          </cell>
          <cell r="O2334">
            <v>0</v>
          </cell>
          <cell r="P2334">
            <v>0</v>
          </cell>
          <cell r="Q2334">
            <v>0</v>
          </cell>
          <cell r="R2334">
            <v>9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224.99999997904524</v>
          </cell>
          <cell r="Y2334">
            <v>0</v>
          </cell>
          <cell r="Z2334">
            <v>0</v>
          </cell>
        </row>
        <row r="2335">
          <cell r="C2335" t="str">
            <v>EDİRNE</v>
          </cell>
          <cell r="D2335" t="str">
            <v>EDİRNEMERKEZ</v>
          </cell>
          <cell r="H2335" t="str">
            <v>Dağıtım-AG</v>
          </cell>
          <cell r="I2335" t="str">
            <v>Uzun</v>
          </cell>
          <cell r="J2335" t="str">
            <v>Şebeke işletmecisi</v>
          </cell>
          <cell r="K2335" t="str">
            <v>Bildirimsiz</v>
          </cell>
          <cell r="O2335">
            <v>0</v>
          </cell>
          <cell r="P2335">
            <v>56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1399.9999998696148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</row>
        <row r="2336">
          <cell r="C2336" t="str">
            <v>KIRKLARELİ</v>
          </cell>
          <cell r="D2336" t="str">
            <v>DEMİRKÖY</v>
          </cell>
          <cell r="H2336" t="str">
            <v>Dağıtım-AG</v>
          </cell>
          <cell r="I2336" t="str">
            <v>Uzun</v>
          </cell>
          <cell r="J2336" t="str">
            <v>Şebeke işletmecisi</v>
          </cell>
          <cell r="K2336" t="str">
            <v>Bildirimsiz</v>
          </cell>
          <cell r="O2336">
            <v>0</v>
          </cell>
          <cell r="P2336">
            <v>0</v>
          </cell>
          <cell r="Q2336">
            <v>0</v>
          </cell>
          <cell r="R2336">
            <v>4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99.999999990686774</v>
          </cell>
          <cell r="Y2336">
            <v>0</v>
          </cell>
          <cell r="Z2336">
            <v>0</v>
          </cell>
        </row>
        <row r="2337">
          <cell r="C2337" t="str">
            <v>EDİRNE</v>
          </cell>
          <cell r="D2337" t="str">
            <v>KEŞAN</v>
          </cell>
          <cell r="H2337" t="str">
            <v>Dağıtım-AG</v>
          </cell>
          <cell r="I2337" t="str">
            <v>Uzun</v>
          </cell>
          <cell r="J2337" t="str">
            <v>Şebeke işletmecisi</v>
          </cell>
          <cell r="K2337" t="str">
            <v>Bildirimsiz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2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49.966666675172746</v>
          </cell>
        </row>
        <row r="2338">
          <cell r="C2338" t="str">
            <v>TEKİRDAĞ</v>
          </cell>
          <cell r="D2338" t="str">
            <v>MARMARAEREĞLİSİ</v>
          </cell>
          <cell r="H2338" t="str">
            <v>Dağıtım-AG</v>
          </cell>
          <cell r="I2338" t="str">
            <v>Uzun</v>
          </cell>
          <cell r="J2338" t="str">
            <v>Şebeke işletmecisi</v>
          </cell>
          <cell r="K2338" t="str">
            <v>Bildirimsiz</v>
          </cell>
          <cell r="O2338">
            <v>0</v>
          </cell>
          <cell r="P2338">
            <v>0</v>
          </cell>
          <cell r="Q2338">
            <v>0</v>
          </cell>
          <cell r="R2338">
            <v>44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1099.2666668538004</v>
          </cell>
          <cell r="Y2338">
            <v>0</v>
          </cell>
          <cell r="Z2338">
            <v>0</v>
          </cell>
        </row>
        <row r="2339">
          <cell r="C2339" t="str">
            <v>TEKİRDAĞ</v>
          </cell>
          <cell r="D2339" t="str">
            <v>MARMARAEREĞLİSİ</v>
          </cell>
          <cell r="H2339" t="str">
            <v>Dağıtım-AG</v>
          </cell>
          <cell r="I2339" t="str">
            <v>Uzun</v>
          </cell>
          <cell r="J2339" t="str">
            <v>Şebeke işletmecisi</v>
          </cell>
          <cell r="K2339" t="str">
            <v>Bildirimsiz</v>
          </cell>
          <cell r="O2339">
            <v>0</v>
          </cell>
          <cell r="P2339">
            <v>0</v>
          </cell>
          <cell r="Q2339">
            <v>0</v>
          </cell>
          <cell r="R2339">
            <v>8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199.73333333618939</v>
          </cell>
          <cell r="Y2339">
            <v>0</v>
          </cell>
          <cell r="Z2339">
            <v>0</v>
          </cell>
        </row>
        <row r="2340">
          <cell r="C2340" t="str">
            <v>KIRKLARELİ</v>
          </cell>
          <cell r="D2340" t="str">
            <v>LÜLEBURGAZ</v>
          </cell>
          <cell r="H2340" t="str">
            <v>Dağıtım-AG</v>
          </cell>
          <cell r="I2340" t="str">
            <v>Uzun</v>
          </cell>
          <cell r="J2340" t="str">
            <v>Şebeke işletmecisi</v>
          </cell>
          <cell r="K2340" t="str">
            <v>Bildirimsiz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1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24.933333336375654</v>
          </cell>
        </row>
        <row r="2341">
          <cell r="C2341" t="str">
            <v>KIRKLARELİ</v>
          </cell>
          <cell r="D2341" t="str">
            <v>LÜLEBURGAZ</v>
          </cell>
          <cell r="H2341" t="str">
            <v>Dağıtım-AG</v>
          </cell>
          <cell r="I2341" t="str">
            <v>Uzun</v>
          </cell>
          <cell r="J2341" t="str">
            <v>Şebeke işletmecisi</v>
          </cell>
          <cell r="K2341" t="str">
            <v>Bildirimsiz</v>
          </cell>
          <cell r="O2341">
            <v>0</v>
          </cell>
          <cell r="P2341">
            <v>1</v>
          </cell>
          <cell r="Q2341">
            <v>0</v>
          </cell>
          <cell r="R2341">
            <v>52</v>
          </cell>
          <cell r="S2341">
            <v>0</v>
          </cell>
          <cell r="T2341">
            <v>0</v>
          </cell>
          <cell r="U2341">
            <v>0</v>
          </cell>
          <cell r="V2341">
            <v>24.900000005727634</v>
          </cell>
          <cell r="W2341">
            <v>0</v>
          </cell>
          <cell r="X2341">
            <v>1294.800000297837</v>
          </cell>
          <cell r="Y2341">
            <v>0</v>
          </cell>
          <cell r="Z2341">
            <v>0</v>
          </cell>
        </row>
        <row r="2342">
          <cell r="C2342" t="str">
            <v>TEKİRDAĞ</v>
          </cell>
          <cell r="D2342" t="str">
            <v>ÇORLU</v>
          </cell>
          <cell r="H2342" t="str">
            <v>Dağıtım-AG</v>
          </cell>
          <cell r="I2342" t="str">
            <v>Uzun</v>
          </cell>
          <cell r="J2342" t="str">
            <v>Şebeke işletmecisi</v>
          </cell>
          <cell r="K2342" t="str">
            <v>Bildirimsiz</v>
          </cell>
          <cell r="O2342">
            <v>0</v>
          </cell>
          <cell r="P2342">
            <v>49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1217.6500002213288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</row>
        <row r="2343">
          <cell r="C2343" t="str">
            <v>TEKİRDAĞ</v>
          </cell>
          <cell r="D2343" t="str">
            <v>HAYRABOLU</v>
          </cell>
          <cell r="H2343" t="str">
            <v>Dağıtım-OG</v>
          </cell>
          <cell r="I2343" t="str">
            <v>Uzun</v>
          </cell>
          <cell r="J2343" t="str">
            <v>Şebeke işletmecisi</v>
          </cell>
          <cell r="K2343" t="str">
            <v>Bildirimsiz</v>
          </cell>
          <cell r="O2343">
            <v>0</v>
          </cell>
          <cell r="P2343">
            <v>0</v>
          </cell>
          <cell r="Q2343">
            <v>3</v>
          </cell>
          <cell r="R2343">
            <v>0</v>
          </cell>
          <cell r="S2343">
            <v>2</v>
          </cell>
          <cell r="T2343">
            <v>0</v>
          </cell>
          <cell r="U2343">
            <v>0</v>
          </cell>
          <cell r="V2343">
            <v>0</v>
          </cell>
          <cell r="W2343">
            <v>74.349999998230487</v>
          </cell>
          <cell r="X2343">
            <v>0</v>
          </cell>
          <cell r="Y2343">
            <v>49.566666665486991</v>
          </cell>
          <cell r="Z2343">
            <v>0</v>
          </cell>
        </row>
        <row r="2344">
          <cell r="C2344" t="str">
            <v>KIRKLARELİ</v>
          </cell>
          <cell r="D2344" t="str">
            <v>KIRKLARELİMERKEZ</v>
          </cell>
          <cell r="H2344" t="str">
            <v>Dağıtım-AG</v>
          </cell>
          <cell r="I2344" t="str">
            <v>Uzun</v>
          </cell>
          <cell r="J2344" t="str">
            <v>Şebeke işletmecisi</v>
          </cell>
          <cell r="K2344" t="str">
            <v>Bildirimsiz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12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296.79999997839332</v>
          </cell>
        </row>
        <row r="2345">
          <cell r="C2345" t="str">
            <v>EDİRNE</v>
          </cell>
          <cell r="D2345" t="str">
            <v>UZUNKÖPRÜ</v>
          </cell>
          <cell r="H2345" t="str">
            <v>Dağıtım-AG</v>
          </cell>
          <cell r="I2345" t="str">
            <v>Uzun</v>
          </cell>
          <cell r="J2345" t="str">
            <v>Şebeke işletmecisi</v>
          </cell>
          <cell r="K2345" t="str">
            <v>Bildirimsiz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91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2249.2166671017185</v>
          </cell>
        </row>
        <row r="2346">
          <cell r="C2346" t="str">
            <v>TEKİRDAĞ</v>
          </cell>
          <cell r="D2346" t="str">
            <v>ERGENE</v>
          </cell>
          <cell r="H2346" t="str">
            <v>Dağıtım-OG</v>
          </cell>
          <cell r="I2346" t="str">
            <v>Uzun</v>
          </cell>
          <cell r="J2346" t="str">
            <v>Şebeke işletmecisi</v>
          </cell>
          <cell r="K2346" t="str">
            <v>Bildirimsiz</v>
          </cell>
          <cell r="O2346">
            <v>0</v>
          </cell>
          <cell r="P2346">
            <v>1582</v>
          </cell>
          <cell r="Q2346">
            <v>0</v>
          </cell>
          <cell r="R2346">
            <v>2</v>
          </cell>
          <cell r="S2346">
            <v>0</v>
          </cell>
          <cell r="T2346">
            <v>0</v>
          </cell>
          <cell r="U2346">
            <v>0</v>
          </cell>
          <cell r="V2346">
            <v>39075.400001399685</v>
          </cell>
          <cell r="W2346">
            <v>0</v>
          </cell>
          <cell r="X2346">
            <v>49.400000001769513</v>
          </cell>
          <cell r="Y2346">
            <v>0</v>
          </cell>
          <cell r="Z2346">
            <v>0</v>
          </cell>
        </row>
        <row r="2347">
          <cell r="C2347" t="str">
            <v>KIRKLARELİ</v>
          </cell>
          <cell r="D2347" t="str">
            <v>KOFÇAZ</v>
          </cell>
          <cell r="H2347" t="str">
            <v>Dağıtım-AG</v>
          </cell>
          <cell r="I2347" t="str">
            <v>Uzun</v>
          </cell>
          <cell r="J2347" t="str">
            <v>Şebeke işletmecisi</v>
          </cell>
          <cell r="K2347" t="str">
            <v>Bildirimsiz</v>
          </cell>
          <cell r="O2347">
            <v>0</v>
          </cell>
          <cell r="P2347">
            <v>0</v>
          </cell>
          <cell r="Q2347">
            <v>0</v>
          </cell>
          <cell r="R2347">
            <v>17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419.61666661547497</v>
          </cell>
          <cell r="Y2347">
            <v>0</v>
          </cell>
          <cell r="Z2347">
            <v>0</v>
          </cell>
        </row>
        <row r="2348">
          <cell r="C2348" t="str">
            <v>TEKİRDAĞ</v>
          </cell>
          <cell r="D2348" t="str">
            <v>MURATLI</v>
          </cell>
          <cell r="H2348" t="str">
            <v>Dağıtım-AG</v>
          </cell>
          <cell r="I2348" t="str">
            <v>Uzun</v>
          </cell>
          <cell r="J2348" t="str">
            <v>Şebeke işletmecisi</v>
          </cell>
          <cell r="K2348" t="str">
            <v>Bildirimsiz</v>
          </cell>
          <cell r="O2348">
            <v>0</v>
          </cell>
          <cell r="P2348">
            <v>5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123.33333335118368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</row>
        <row r="2349">
          <cell r="C2349" t="str">
            <v>KIRKLARELİ</v>
          </cell>
          <cell r="D2349" t="str">
            <v>KIRKLARELİMERKEZ</v>
          </cell>
          <cell r="H2349" t="str">
            <v>Dağıtım-AG</v>
          </cell>
          <cell r="I2349" t="str">
            <v>Uzun</v>
          </cell>
          <cell r="J2349" t="str">
            <v>Şebeke işletmecisi</v>
          </cell>
          <cell r="K2349" t="str">
            <v>Bildirimsiz</v>
          </cell>
          <cell r="O2349">
            <v>0</v>
          </cell>
          <cell r="P2349">
            <v>175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4313.7499999429565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</row>
        <row r="2350">
          <cell r="C2350" t="str">
            <v>TEKİRDAĞ</v>
          </cell>
          <cell r="D2350" t="str">
            <v>ÇERKEZKÖY</v>
          </cell>
          <cell r="H2350" t="str">
            <v>Dağıtım-OG</v>
          </cell>
          <cell r="I2350" t="str">
            <v>Uzun</v>
          </cell>
          <cell r="J2350" t="str">
            <v>Şebeke İşletmecisi</v>
          </cell>
          <cell r="K2350" t="str">
            <v>Bildirimsiz</v>
          </cell>
          <cell r="O2350">
            <v>6</v>
          </cell>
          <cell r="P2350">
            <v>4366</v>
          </cell>
          <cell r="Q2350">
            <v>0</v>
          </cell>
          <cell r="R2350">
            <v>16</v>
          </cell>
          <cell r="S2350">
            <v>0</v>
          </cell>
          <cell r="T2350">
            <v>1</v>
          </cell>
          <cell r="U2350">
            <v>147.69999995129183</v>
          </cell>
          <cell r="V2350">
            <v>107476.36663122335</v>
          </cell>
          <cell r="W2350">
            <v>0</v>
          </cell>
          <cell r="X2350">
            <v>393.86666653677821</v>
          </cell>
          <cell r="Y2350">
            <v>0</v>
          </cell>
          <cell r="Z2350">
            <v>24.616666658548638</v>
          </cell>
        </row>
        <row r="2351">
          <cell r="C2351" t="str">
            <v>TEKİRDAĞ</v>
          </cell>
          <cell r="D2351" t="str">
            <v>HAYRABOLU</v>
          </cell>
          <cell r="H2351" t="str">
            <v>Dağıtım-AG</v>
          </cell>
          <cell r="I2351" t="str">
            <v>Uzun</v>
          </cell>
          <cell r="J2351" t="str">
            <v>Şebeke işletmecisi</v>
          </cell>
          <cell r="K2351" t="str">
            <v>Bildirimli</v>
          </cell>
          <cell r="O2351">
            <v>0</v>
          </cell>
          <cell r="P2351">
            <v>0</v>
          </cell>
          <cell r="Q2351">
            <v>0</v>
          </cell>
          <cell r="R2351">
            <v>115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2819.4166666595265</v>
          </cell>
          <cell r="Y2351">
            <v>0</v>
          </cell>
          <cell r="Z2351">
            <v>0</v>
          </cell>
        </row>
        <row r="2352">
          <cell r="C2352" t="str">
            <v>EDİRNE</v>
          </cell>
          <cell r="D2352" t="str">
            <v>UZUNKÖPRÜ</v>
          </cell>
          <cell r="H2352" t="str">
            <v>Dağıtım-OG</v>
          </cell>
          <cell r="I2352" t="str">
            <v>Uzun</v>
          </cell>
          <cell r="J2352" t="str">
            <v>Şebeke işletmecisi</v>
          </cell>
          <cell r="K2352" t="str">
            <v>Bildirimsiz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3</v>
          </cell>
          <cell r="T2352">
            <v>108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73.549999999813735</v>
          </cell>
          <cell r="Z2352">
            <v>2647.7999999932945</v>
          </cell>
        </row>
        <row r="2353">
          <cell r="C2353" t="str">
            <v>TEKİRDAĞ</v>
          </cell>
          <cell r="D2353" t="str">
            <v>SÜLEYMANPAŞA</v>
          </cell>
          <cell r="H2353" t="str">
            <v>Dağıtım-AG</v>
          </cell>
          <cell r="I2353" t="str">
            <v>Uzun</v>
          </cell>
          <cell r="J2353" t="str">
            <v>Şebeke işletmecisi</v>
          </cell>
          <cell r="K2353" t="str">
            <v>Bildirimsiz</v>
          </cell>
          <cell r="O2353">
            <v>0</v>
          </cell>
          <cell r="P2353">
            <v>12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293.99999995250255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</row>
        <row r="2354">
          <cell r="C2354" t="str">
            <v>TEKİRDAĞ</v>
          </cell>
          <cell r="D2354" t="str">
            <v>MARMARAEREĞLİSİ</v>
          </cell>
          <cell r="H2354" t="str">
            <v>Dağıtım-AG</v>
          </cell>
          <cell r="I2354" t="str">
            <v>Uzun</v>
          </cell>
          <cell r="J2354" t="str">
            <v>Şebeke işletmecisi</v>
          </cell>
          <cell r="K2354" t="str">
            <v>Bildirimsiz</v>
          </cell>
          <cell r="O2354">
            <v>0</v>
          </cell>
          <cell r="P2354">
            <v>0</v>
          </cell>
          <cell r="Q2354">
            <v>0</v>
          </cell>
          <cell r="R2354">
            <v>92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2253.9999996358529</v>
          </cell>
          <cell r="Y2354">
            <v>0</v>
          </cell>
          <cell r="Z2354">
            <v>0</v>
          </cell>
        </row>
        <row r="2355">
          <cell r="C2355" t="str">
            <v>TEKİRDAĞ</v>
          </cell>
          <cell r="D2355" t="str">
            <v>SÜLEYMANPAŞA</v>
          </cell>
          <cell r="H2355" t="str">
            <v>Dağıtım-OG</v>
          </cell>
          <cell r="I2355" t="str">
            <v>Uzun</v>
          </cell>
          <cell r="J2355" t="str">
            <v>Şebeke işletmecisi</v>
          </cell>
          <cell r="K2355" t="str">
            <v>Bildirimsiz</v>
          </cell>
          <cell r="O2355">
            <v>1</v>
          </cell>
          <cell r="P2355">
            <v>124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24.48333332547918</v>
          </cell>
          <cell r="V2355">
            <v>3035.9333323594183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</row>
        <row r="2356">
          <cell r="C2356" t="str">
            <v>TEKİRDAĞ</v>
          </cell>
          <cell r="D2356" t="str">
            <v>KAPAKLI</v>
          </cell>
          <cell r="H2356" t="str">
            <v>Dağıtım-AG</v>
          </cell>
          <cell r="I2356" t="str">
            <v>Uzun</v>
          </cell>
          <cell r="J2356" t="str">
            <v>Şebeke işletmecisi</v>
          </cell>
          <cell r="K2356" t="str">
            <v>Bildirimsiz</v>
          </cell>
          <cell r="O2356">
            <v>0</v>
          </cell>
          <cell r="P2356">
            <v>246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6022.8999980678782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</row>
        <row r="2357">
          <cell r="C2357" t="str">
            <v>TEKİRDAĞ</v>
          </cell>
          <cell r="D2357" t="str">
            <v>ÇERKEZKÖY</v>
          </cell>
          <cell r="H2357" t="str">
            <v>Dağıtım-AG</v>
          </cell>
          <cell r="I2357" t="str">
            <v>Uzun</v>
          </cell>
          <cell r="J2357" t="str">
            <v>Şebeke işletmecisi</v>
          </cell>
          <cell r="K2357" t="str">
            <v>Bildirimsiz</v>
          </cell>
          <cell r="O2357">
            <v>0</v>
          </cell>
          <cell r="P2357">
            <v>294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7178.4999992698431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</row>
        <row r="2358">
          <cell r="C2358" t="str">
            <v>TEKİRDAĞ</v>
          </cell>
          <cell r="D2358" t="str">
            <v>SÜLEYMANPAŞA</v>
          </cell>
          <cell r="H2358" t="str">
            <v>Dağıtım-OG</v>
          </cell>
          <cell r="I2358" t="str">
            <v>Uzun</v>
          </cell>
          <cell r="J2358" t="str">
            <v>Şebeke işletmecisi</v>
          </cell>
          <cell r="K2358" t="str">
            <v>Bildirimsiz</v>
          </cell>
          <cell r="O2358">
            <v>4</v>
          </cell>
          <cell r="P2358">
            <v>6296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97.600000016391277</v>
          </cell>
          <cell r="V2358">
            <v>153622.40002579987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</row>
        <row r="2359">
          <cell r="C2359" t="str">
            <v>TEKİRDAĞ</v>
          </cell>
          <cell r="D2359" t="str">
            <v>ERGENE</v>
          </cell>
          <cell r="H2359" t="str">
            <v>Dağıtım-OG</v>
          </cell>
          <cell r="I2359" t="str">
            <v>Uzun</v>
          </cell>
          <cell r="J2359" t="str">
            <v>Şebeke İşletmecisi</v>
          </cell>
          <cell r="K2359" t="str">
            <v>Bildirimsiz</v>
          </cell>
          <cell r="O2359">
            <v>12</v>
          </cell>
          <cell r="P2359">
            <v>262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292.60000000242144</v>
          </cell>
          <cell r="V2359">
            <v>6388.4333333862014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</row>
        <row r="2360">
          <cell r="C2360" t="str">
            <v>KIRKLARELİ</v>
          </cell>
          <cell r="D2360" t="str">
            <v>KIRKLARELİMERKEZ</v>
          </cell>
          <cell r="H2360" t="str">
            <v>Dağıtım-OG</v>
          </cell>
          <cell r="I2360" t="str">
            <v>Uzun</v>
          </cell>
          <cell r="J2360" t="str">
            <v>Şebeke işletmecisi</v>
          </cell>
          <cell r="K2360" t="str">
            <v>Bildirimsiz</v>
          </cell>
          <cell r="O2360">
            <v>18</v>
          </cell>
          <cell r="P2360">
            <v>1088</v>
          </cell>
          <cell r="Q2360">
            <v>3</v>
          </cell>
          <cell r="R2360">
            <v>886</v>
          </cell>
          <cell r="S2360">
            <v>15</v>
          </cell>
          <cell r="T2360">
            <v>2</v>
          </cell>
          <cell r="U2360">
            <v>438.90000000363216</v>
          </cell>
          <cell r="V2360">
            <v>26529.06666688621</v>
          </cell>
          <cell r="W2360">
            <v>73.15000000060536</v>
          </cell>
          <cell r="X2360">
            <v>21603.633333512116</v>
          </cell>
          <cell r="Y2360">
            <v>365.7500000030268</v>
          </cell>
          <cell r="Z2360">
            <v>48.76666666707024</v>
          </cell>
        </row>
        <row r="2361">
          <cell r="C2361" t="str">
            <v>EDİRNE</v>
          </cell>
          <cell r="D2361" t="str">
            <v>KEŞAN</v>
          </cell>
          <cell r="H2361" t="str">
            <v>Dağıtım-AG</v>
          </cell>
          <cell r="I2361" t="str">
            <v>Uzun</v>
          </cell>
          <cell r="J2361" t="str">
            <v>Şebeke işletmecisi</v>
          </cell>
          <cell r="K2361" t="str">
            <v>Bildirimsiz</v>
          </cell>
          <cell r="O2361">
            <v>0</v>
          </cell>
          <cell r="P2361">
            <v>269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6559.1166667209473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</row>
        <row r="2362">
          <cell r="C2362" t="str">
            <v>EDİRNE</v>
          </cell>
          <cell r="D2362" t="str">
            <v>EDİRNEMERKEZ</v>
          </cell>
          <cell r="H2362" t="str">
            <v>Dağıtım-OG</v>
          </cell>
          <cell r="I2362" t="str">
            <v>Uzun</v>
          </cell>
          <cell r="J2362" t="str">
            <v>Şebeke işletmecisi</v>
          </cell>
          <cell r="K2362" t="str">
            <v>Bildirimsiz</v>
          </cell>
          <cell r="O2362">
            <v>1</v>
          </cell>
          <cell r="P2362">
            <v>1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24.333333332324401</v>
          </cell>
          <cell r="V2362">
            <v>24.333333332324401</v>
          </cell>
          <cell r="W2362">
            <v>0</v>
          </cell>
          <cell r="X2362">
            <v>0</v>
          </cell>
          <cell r="Y2362">
            <v>0</v>
          </cell>
          <cell r="Z2362">
            <v>0</v>
          </cell>
        </row>
        <row r="2363">
          <cell r="C2363" t="str">
            <v>TEKİRDAĞ</v>
          </cell>
          <cell r="D2363" t="str">
            <v>MARMARAEREĞLİSİ</v>
          </cell>
          <cell r="H2363" t="str">
            <v>Dağıtım-AG</v>
          </cell>
          <cell r="I2363" t="str">
            <v>Uzun</v>
          </cell>
          <cell r="J2363" t="str">
            <v>Şebeke işletmecisi</v>
          </cell>
          <cell r="K2363" t="str">
            <v>Bildirimsiz</v>
          </cell>
          <cell r="O2363">
            <v>0</v>
          </cell>
          <cell r="P2363">
            <v>47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1142.8833335952368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</row>
        <row r="2364">
          <cell r="C2364" t="str">
            <v>EDİRNE</v>
          </cell>
          <cell r="D2364" t="str">
            <v>KEŞAN</v>
          </cell>
          <cell r="H2364" t="str">
            <v>Dağıtım-AG</v>
          </cell>
          <cell r="I2364" t="str">
            <v>Uzun</v>
          </cell>
          <cell r="J2364" t="str">
            <v>Şebeke işletmecisi</v>
          </cell>
          <cell r="K2364" t="str">
            <v>Bildirimsiz</v>
          </cell>
          <cell r="O2364">
            <v>0</v>
          </cell>
          <cell r="P2364">
            <v>165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4004.0000007196795</v>
          </cell>
          <cell r="W2364">
            <v>0</v>
          </cell>
          <cell r="X2364">
            <v>0</v>
          </cell>
          <cell r="Y2364">
            <v>0</v>
          </cell>
          <cell r="Z2364">
            <v>0</v>
          </cell>
        </row>
        <row r="2365">
          <cell r="C2365" t="str">
            <v>TEKİRDAĞ</v>
          </cell>
          <cell r="D2365" t="str">
            <v>MARMARAEREĞLİSİ</v>
          </cell>
          <cell r="H2365" t="str">
            <v>Dağıtım-AG</v>
          </cell>
          <cell r="I2365" t="str">
            <v>Uzun</v>
          </cell>
          <cell r="J2365" t="str">
            <v>Şebeke işletmecisi</v>
          </cell>
          <cell r="K2365" t="str">
            <v>Bildirimsiz</v>
          </cell>
          <cell r="O2365">
            <v>0</v>
          </cell>
          <cell r="P2365">
            <v>0</v>
          </cell>
          <cell r="Q2365">
            <v>0</v>
          </cell>
          <cell r="R2365">
            <v>70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1698.6666662385687</v>
          </cell>
          <cell r="Y2365">
            <v>0</v>
          </cell>
          <cell r="Z2365">
            <v>0</v>
          </cell>
        </row>
        <row r="2366">
          <cell r="C2366" t="str">
            <v>EDİRNE</v>
          </cell>
          <cell r="D2366" t="str">
            <v>UZUNKÖPRÜ</v>
          </cell>
          <cell r="H2366" t="str">
            <v>Dağıtım-OG</v>
          </cell>
          <cell r="I2366" t="str">
            <v>Uzun</v>
          </cell>
          <cell r="J2366" t="str">
            <v>Şebeke İşletmecisi</v>
          </cell>
          <cell r="K2366" t="str">
            <v>Bildirimsiz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287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6959.7500001336448</v>
          </cell>
        </row>
        <row r="2367">
          <cell r="C2367" t="str">
            <v>KIRKLARELİ</v>
          </cell>
          <cell r="D2367" t="str">
            <v>KIRKLARELİMERKEZ</v>
          </cell>
          <cell r="H2367" t="str">
            <v>Dağıtım-OG</v>
          </cell>
          <cell r="I2367" t="str">
            <v>Uzun</v>
          </cell>
          <cell r="J2367" t="str">
            <v>Şebeke işletmecisi</v>
          </cell>
          <cell r="K2367" t="str">
            <v>Bildirimsiz</v>
          </cell>
          <cell r="O2367">
            <v>14</v>
          </cell>
          <cell r="P2367">
            <v>141</v>
          </cell>
          <cell r="Q2367">
            <v>0</v>
          </cell>
          <cell r="R2367">
            <v>1</v>
          </cell>
          <cell r="S2367">
            <v>13</v>
          </cell>
          <cell r="T2367">
            <v>1</v>
          </cell>
          <cell r="U2367">
            <v>337.39999995566905</v>
          </cell>
          <cell r="V2367">
            <v>3398.099999553524</v>
          </cell>
          <cell r="W2367">
            <v>0</v>
          </cell>
          <cell r="X2367">
            <v>24.099999996833503</v>
          </cell>
          <cell r="Y2367">
            <v>313.29999995883554</v>
          </cell>
          <cell r="Z2367">
            <v>24.099999996833503</v>
          </cell>
        </row>
        <row r="2368">
          <cell r="C2368" t="str">
            <v>TEKİRDAĞ</v>
          </cell>
          <cell r="D2368" t="str">
            <v>MARMARAEREĞLİSİ</v>
          </cell>
          <cell r="H2368" t="str">
            <v>Dağıtım-AG</v>
          </cell>
          <cell r="I2368" t="str">
            <v>Uzun</v>
          </cell>
          <cell r="J2368" t="str">
            <v>Şebeke işletmecisi</v>
          </cell>
          <cell r="K2368" t="str">
            <v>Bildirimsiz</v>
          </cell>
          <cell r="O2368">
            <v>0</v>
          </cell>
          <cell r="P2368">
            <v>3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72.19999999855645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</row>
        <row r="2369">
          <cell r="C2369" t="str">
            <v>KIRKLARELİ</v>
          </cell>
          <cell r="D2369" t="str">
            <v>LÜLEBURGAZ</v>
          </cell>
          <cell r="H2369" t="str">
            <v>Dağıtım-AG</v>
          </cell>
          <cell r="I2369" t="str">
            <v>Uzun</v>
          </cell>
          <cell r="J2369" t="str">
            <v>Şebeke işletmecisi</v>
          </cell>
          <cell r="K2369" t="str">
            <v>Bildirimsiz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5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120.16666667768732</v>
          </cell>
        </row>
        <row r="2370">
          <cell r="C2370" t="str">
            <v>KIRKLARELİ</v>
          </cell>
          <cell r="D2370" t="str">
            <v>LÜLEBURGAZ</v>
          </cell>
          <cell r="H2370" t="str">
            <v>Dağıtım-OG</v>
          </cell>
          <cell r="I2370" t="str">
            <v>Uzun</v>
          </cell>
          <cell r="J2370" t="str">
            <v>Şebeke işletmecisi</v>
          </cell>
          <cell r="K2370" t="str">
            <v>Bildirimsiz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1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24.033333335537463</v>
          </cell>
          <cell r="Z2370">
            <v>0</v>
          </cell>
        </row>
        <row r="2371">
          <cell r="C2371" t="str">
            <v>TEKİRDAĞ</v>
          </cell>
          <cell r="D2371" t="str">
            <v>MARMARAEREĞLİSİ</v>
          </cell>
          <cell r="H2371" t="str">
            <v>Dağıtım-AG</v>
          </cell>
          <cell r="I2371" t="str">
            <v>Uzun</v>
          </cell>
          <cell r="J2371" t="str">
            <v>Şebeke işletmecisi</v>
          </cell>
          <cell r="K2371" t="str">
            <v>Bildirimsiz</v>
          </cell>
          <cell r="O2371">
            <v>0</v>
          </cell>
          <cell r="P2371">
            <v>3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72.049999994924292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</row>
        <row r="2372">
          <cell r="C2372" t="str">
            <v>EDİRNE</v>
          </cell>
          <cell r="D2372" t="str">
            <v>MERİÇ</v>
          </cell>
          <cell r="H2372" t="str">
            <v>Dağıtım-OG</v>
          </cell>
          <cell r="I2372" t="str">
            <v>Uzun</v>
          </cell>
          <cell r="J2372" t="str">
            <v>Şebeke işletmecisi</v>
          </cell>
          <cell r="K2372" t="str">
            <v>Bildirimsiz</v>
          </cell>
          <cell r="O2372">
            <v>0</v>
          </cell>
          <cell r="P2372">
            <v>0</v>
          </cell>
          <cell r="Q2372">
            <v>0</v>
          </cell>
          <cell r="R2372">
            <v>1</v>
          </cell>
          <cell r="S2372">
            <v>4</v>
          </cell>
          <cell r="T2372">
            <v>478</v>
          </cell>
          <cell r="U2372">
            <v>0</v>
          </cell>
          <cell r="V2372">
            <v>0</v>
          </cell>
          <cell r="W2372">
            <v>0</v>
          </cell>
          <cell r="X2372">
            <v>24.016666664974764</v>
          </cell>
          <cell r="Y2372">
            <v>96.066666659899056</v>
          </cell>
          <cell r="Z2372">
            <v>11479.966665857937</v>
          </cell>
        </row>
        <row r="2373">
          <cell r="C2373" t="str">
            <v>EDİRNE</v>
          </cell>
          <cell r="D2373" t="str">
            <v>EDİRNEMERKEZ</v>
          </cell>
          <cell r="H2373" t="str">
            <v>Dağıtım-OG</v>
          </cell>
          <cell r="I2373" t="str">
            <v>Uzun</v>
          </cell>
          <cell r="J2373" t="str">
            <v>Şebeke işletmecisi</v>
          </cell>
          <cell r="K2373" t="str">
            <v>Bildirimsiz</v>
          </cell>
          <cell r="O2373">
            <v>4</v>
          </cell>
          <cell r="P2373">
            <v>1</v>
          </cell>
          <cell r="Q2373">
            <v>0</v>
          </cell>
          <cell r="R2373">
            <v>0</v>
          </cell>
          <cell r="S2373">
            <v>4</v>
          </cell>
          <cell r="T2373">
            <v>0</v>
          </cell>
          <cell r="U2373">
            <v>95.933333337306976</v>
          </cell>
          <cell r="V2373">
            <v>23.983333334326744</v>
          </cell>
          <cell r="W2373">
            <v>0</v>
          </cell>
          <cell r="X2373">
            <v>0</v>
          </cell>
          <cell r="Y2373">
            <v>95.933333337306976</v>
          </cell>
          <cell r="Z2373">
            <v>0</v>
          </cell>
        </row>
        <row r="2374">
          <cell r="C2374" t="str">
            <v>KIRKLARELİ</v>
          </cell>
          <cell r="D2374" t="str">
            <v>KIRKLARELİMERKEZ</v>
          </cell>
          <cell r="H2374" t="str">
            <v>Dağıtım-OG</v>
          </cell>
          <cell r="I2374" t="str">
            <v>Uzun</v>
          </cell>
          <cell r="J2374" t="str">
            <v>Şebeke işletmecisi</v>
          </cell>
          <cell r="K2374" t="str">
            <v>Bildirimsiz</v>
          </cell>
          <cell r="O2374">
            <v>15</v>
          </cell>
          <cell r="P2374">
            <v>178</v>
          </cell>
          <cell r="Q2374">
            <v>1</v>
          </cell>
          <cell r="R2374">
            <v>0</v>
          </cell>
          <cell r="S2374">
            <v>10</v>
          </cell>
          <cell r="T2374">
            <v>4</v>
          </cell>
          <cell r="U2374">
            <v>359.24999989802018</v>
          </cell>
          <cell r="V2374">
            <v>4263.0999987898394</v>
          </cell>
          <cell r="W2374">
            <v>23.949999993201345</v>
          </cell>
          <cell r="X2374">
            <v>0</v>
          </cell>
          <cell r="Y2374">
            <v>239.49999993201345</v>
          </cell>
          <cell r="Z2374">
            <v>95.799999972805381</v>
          </cell>
        </row>
        <row r="2375">
          <cell r="C2375" t="str">
            <v>KIRKLARELİ</v>
          </cell>
          <cell r="D2375" t="str">
            <v>BABAESKİ</v>
          </cell>
          <cell r="H2375" t="str">
            <v>Dağıtım-AG</v>
          </cell>
          <cell r="I2375" t="str">
            <v>Uzun</v>
          </cell>
          <cell r="J2375" t="str">
            <v>Şebeke işletmecisi</v>
          </cell>
          <cell r="K2375" t="str">
            <v>Bildirimsiz</v>
          </cell>
          <cell r="O2375">
            <v>0</v>
          </cell>
          <cell r="P2375">
            <v>69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1649.1000001702923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</row>
        <row r="2376">
          <cell r="C2376" t="str">
            <v>EDİRNE</v>
          </cell>
          <cell r="D2376" t="str">
            <v>KEŞAN</v>
          </cell>
          <cell r="H2376" t="str">
            <v>Dağıtım-OG</v>
          </cell>
          <cell r="I2376" t="str">
            <v>Uzun</v>
          </cell>
          <cell r="J2376" t="str">
            <v>Şebeke işletmecisi</v>
          </cell>
          <cell r="K2376" t="str">
            <v>Bildirimsiz</v>
          </cell>
          <cell r="O2376">
            <v>2</v>
          </cell>
          <cell r="P2376">
            <v>20</v>
          </cell>
          <cell r="Q2376">
            <v>0</v>
          </cell>
          <cell r="R2376">
            <v>0</v>
          </cell>
          <cell r="S2376">
            <v>16</v>
          </cell>
          <cell r="T2376">
            <v>16</v>
          </cell>
          <cell r="U2376">
            <v>47.80000000493601</v>
          </cell>
          <cell r="V2376">
            <v>478.0000000493601</v>
          </cell>
          <cell r="W2376">
            <v>0</v>
          </cell>
          <cell r="X2376">
            <v>0</v>
          </cell>
          <cell r="Y2376">
            <v>382.40000003948808</v>
          </cell>
          <cell r="Z2376">
            <v>382.40000003948808</v>
          </cell>
        </row>
        <row r="2377">
          <cell r="C2377" t="str">
            <v>KIRKLARELİ</v>
          </cell>
          <cell r="D2377" t="str">
            <v>KIRKLARELİMERKEZ</v>
          </cell>
          <cell r="H2377" t="str">
            <v>Dağıtım-AG</v>
          </cell>
          <cell r="I2377" t="str">
            <v>Uzun</v>
          </cell>
          <cell r="J2377" t="str">
            <v>Şebeke işletmecisi</v>
          </cell>
          <cell r="K2377" t="str">
            <v>Bildirimli</v>
          </cell>
          <cell r="O2377">
            <v>0</v>
          </cell>
          <cell r="P2377">
            <v>910</v>
          </cell>
          <cell r="Q2377">
            <v>0</v>
          </cell>
          <cell r="R2377">
            <v>4</v>
          </cell>
          <cell r="S2377">
            <v>0</v>
          </cell>
          <cell r="T2377">
            <v>9</v>
          </cell>
          <cell r="U2377">
            <v>0</v>
          </cell>
          <cell r="V2377">
            <v>21749.000002245884</v>
          </cell>
          <cell r="W2377">
            <v>0</v>
          </cell>
          <cell r="X2377">
            <v>95.600000009872019</v>
          </cell>
          <cell r="Y2377">
            <v>0</v>
          </cell>
          <cell r="Z2377">
            <v>215.10000002221204</v>
          </cell>
        </row>
        <row r="2378">
          <cell r="C2378" t="str">
            <v>TEKİRDAĞ</v>
          </cell>
          <cell r="D2378" t="str">
            <v>ŞARKÖY</v>
          </cell>
          <cell r="H2378" t="str">
            <v>Dağıtım-AG</v>
          </cell>
          <cell r="I2378" t="str">
            <v>Uzun</v>
          </cell>
          <cell r="J2378" t="str">
            <v>Şebeke işletmecisi</v>
          </cell>
          <cell r="K2378" t="str">
            <v>Bildirimsiz</v>
          </cell>
          <cell r="O2378">
            <v>0</v>
          </cell>
          <cell r="P2378">
            <v>0</v>
          </cell>
          <cell r="Q2378">
            <v>0</v>
          </cell>
          <cell r="R2378">
            <v>95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2267.3333338228986</v>
          </cell>
          <cell r="Y2378">
            <v>0</v>
          </cell>
          <cell r="Z2378">
            <v>0</v>
          </cell>
        </row>
        <row r="2379">
          <cell r="C2379" t="str">
            <v>TEKİRDAĞ</v>
          </cell>
          <cell r="D2379" t="str">
            <v>ŞARKÖY</v>
          </cell>
          <cell r="H2379" t="str">
            <v>Dağıtım-AG</v>
          </cell>
          <cell r="I2379" t="str">
            <v>Uzun</v>
          </cell>
          <cell r="J2379" t="str">
            <v>Şebeke işletmecisi</v>
          </cell>
          <cell r="K2379" t="str">
            <v>Bildirimsiz</v>
          </cell>
          <cell r="O2379">
            <v>0</v>
          </cell>
          <cell r="P2379">
            <v>0</v>
          </cell>
          <cell r="Q2379">
            <v>0</v>
          </cell>
          <cell r="R2379">
            <v>272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6491.7333347350359</v>
          </cell>
          <cell r="Y2379">
            <v>0</v>
          </cell>
          <cell r="Z2379">
            <v>0</v>
          </cell>
        </row>
        <row r="2380">
          <cell r="C2380" t="str">
            <v>TEKİRDAĞ</v>
          </cell>
          <cell r="D2380" t="str">
            <v>MARMARAEREĞLİSİ</v>
          </cell>
          <cell r="H2380" t="str">
            <v>Dağıtım-AG</v>
          </cell>
          <cell r="I2380" t="str">
            <v>Uzun</v>
          </cell>
          <cell r="J2380" t="str">
            <v>Şebeke işletmecisi</v>
          </cell>
          <cell r="K2380" t="str">
            <v>Bildirimsiz</v>
          </cell>
          <cell r="O2380">
            <v>0</v>
          </cell>
          <cell r="P2380">
            <v>0</v>
          </cell>
          <cell r="Q2380">
            <v>0</v>
          </cell>
          <cell r="R2380">
            <v>33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785.40000000153668</v>
          </cell>
          <cell r="Y2380">
            <v>0</v>
          </cell>
          <cell r="Z2380">
            <v>0</v>
          </cell>
        </row>
        <row r="2381">
          <cell r="C2381" t="str">
            <v>TEKİRDAĞ</v>
          </cell>
          <cell r="D2381" t="str">
            <v>MARMARAEREĞLİSİ</v>
          </cell>
          <cell r="H2381" t="str">
            <v>Dağıtım-OG</v>
          </cell>
          <cell r="I2381" t="str">
            <v>Uzun</v>
          </cell>
          <cell r="J2381" t="str">
            <v>Şebeke işletmecisi</v>
          </cell>
          <cell r="K2381" t="str">
            <v>Bildirimli</v>
          </cell>
          <cell r="O2381">
            <v>5</v>
          </cell>
          <cell r="P2381">
            <v>46</v>
          </cell>
          <cell r="Q2381">
            <v>43</v>
          </cell>
          <cell r="R2381">
            <v>9805</v>
          </cell>
          <cell r="S2381">
            <v>0</v>
          </cell>
          <cell r="T2381">
            <v>15</v>
          </cell>
          <cell r="U2381">
            <v>118.91666669980623</v>
          </cell>
          <cell r="V2381">
            <v>1094.0333336382173</v>
          </cell>
          <cell r="W2381">
            <v>1022.6833336183336</v>
          </cell>
          <cell r="X2381">
            <v>233195.58339832001</v>
          </cell>
          <cell r="Y2381">
            <v>0</v>
          </cell>
          <cell r="Z2381">
            <v>356.75000009941868</v>
          </cell>
        </row>
        <row r="2382">
          <cell r="C2382" t="str">
            <v>KIRKLARELİ</v>
          </cell>
          <cell r="D2382" t="str">
            <v>VİZE</v>
          </cell>
          <cell r="H2382" t="str">
            <v>Dağıtım-AG</v>
          </cell>
          <cell r="I2382" t="str">
            <v>Uzun</v>
          </cell>
          <cell r="J2382" t="str">
            <v>Şebeke işletmecisi</v>
          </cell>
          <cell r="K2382" t="str">
            <v>Bildirimsiz</v>
          </cell>
          <cell r="O2382">
            <v>0</v>
          </cell>
          <cell r="P2382">
            <v>0</v>
          </cell>
          <cell r="Q2382">
            <v>0</v>
          </cell>
          <cell r="R2382">
            <v>2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47.566666658967733</v>
          </cell>
          <cell r="Y2382">
            <v>0</v>
          </cell>
          <cell r="Z2382">
            <v>0</v>
          </cell>
        </row>
        <row r="2383">
          <cell r="C2383" t="str">
            <v>KIRKLARELİ</v>
          </cell>
          <cell r="D2383" t="str">
            <v>PINARHİSAR</v>
          </cell>
          <cell r="H2383" t="str">
            <v>Dağıtım-AG</v>
          </cell>
          <cell r="I2383" t="str">
            <v>Uzun</v>
          </cell>
          <cell r="J2383" t="str">
            <v>Şebeke işletmecisi</v>
          </cell>
          <cell r="K2383" t="str">
            <v>Bildirimsiz</v>
          </cell>
          <cell r="O2383">
            <v>0</v>
          </cell>
          <cell r="P2383">
            <v>0</v>
          </cell>
          <cell r="Q2383">
            <v>0</v>
          </cell>
          <cell r="R2383">
            <v>96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2280.0000008940697</v>
          </cell>
          <cell r="Y2383">
            <v>0</v>
          </cell>
          <cell r="Z2383">
            <v>0</v>
          </cell>
        </row>
        <row r="2384">
          <cell r="C2384" t="str">
            <v>KIRKLARELİ</v>
          </cell>
          <cell r="D2384" t="str">
            <v>LÜLEBURGAZ</v>
          </cell>
          <cell r="H2384" t="str">
            <v>Dağıtım-AG</v>
          </cell>
          <cell r="I2384" t="str">
            <v>Uzun</v>
          </cell>
          <cell r="J2384" t="str">
            <v>Şebeke işletmecisi</v>
          </cell>
          <cell r="K2384" t="str">
            <v>Bildirimsiz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45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1063.5000001348089</v>
          </cell>
        </row>
        <row r="2385">
          <cell r="C2385" t="str">
            <v>TEKİRDAĞ</v>
          </cell>
          <cell r="D2385" t="str">
            <v>ÇERKEZKÖY</v>
          </cell>
          <cell r="H2385" t="str">
            <v>Dağıtım-OG</v>
          </cell>
          <cell r="I2385" t="str">
            <v>Uzun</v>
          </cell>
          <cell r="J2385" t="str">
            <v>Şebeke işletmecisi</v>
          </cell>
          <cell r="K2385" t="str">
            <v>Bildirimsiz</v>
          </cell>
          <cell r="O2385">
            <v>25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590.83333314629272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</row>
        <row r="2386">
          <cell r="C2386" t="str">
            <v>TEKİRDAĞ</v>
          </cell>
          <cell r="D2386" t="str">
            <v>HAYRABOLU</v>
          </cell>
          <cell r="H2386" t="str">
            <v>Dağıtım-AG</v>
          </cell>
          <cell r="I2386" t="str">
            <v>Uzun</v>
          </cell>
          <cell r="J2386" t="str">
            <v>Şebeke işletmecisi</v>
          </cell>
          <cell r="K2386" t="str">
            <v>Bildirimsiz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4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94.333333340473473</v>
          </cell>
        </row>
        <row r="2387">
          <cell r="C2387" t="str">
            <v>TEKİRDAĞ</v>
          </cell>
          <cell r="D2387" t="str">
            <v>MARMARAEREĞLİSİ</v>
          </cell>
          <cell r="H2387" t="str">
            <v>Dağıtım-AG</v>
          </cell>
          <cell r="I2387" t="str">
            <v>Uzun</v>
          </cell>
          <cell r="J2387" t="str">
            <v>Şebeke işletmecisi</v>
          </cell>
          <cell r="K2387" t="str">
            <v>Bildirimsiz</v>
          </cell>
          <cell r="O2387">
            <v>0</v>
          </cell>
          <cell r="P2387">
            <v>9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212.25000001606531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</row>
        <row r="2388">
          <cell r="C2388" t="str">
            <v>KIRKLARELİ</v>
          </cell>
          <cell r="D2388" t="str">
            <v>BABAESKİ</v>
          </cell>
          <cell r="H2388" t="str">
            <v>Dağıtım-OG</v>
          </cell>
          <cell r="I2388" t="str">
            <v>Uzun</v>
          </cell>
          <cell r="J2388" t="str">
            <v>Şebeke işletmecisi</v>
          </cell>
          <cell r="K2388" t="str">
            <v>Bildirimli</v>
          </cell>
          <cell r="O2388">
            <v>3</v>
          </cell>
          <cell r="P2388">
            <v>1</v>
          </cell>
          <cell r="Q2388">
            <v>3</v>
          </cell>
          <cell r="R2388">
            <v>210</v>
          </cell>
          <cell r="S2388">
            <v>0</v>
          </cell>
          <cell r="T2388">
            <v>0</v>
          </cell>
          <cell r="U2388">
            <v>70.650000013411045</v>
          </cell>
          <cell r="V2388">
            <v>23.550000004470348</v>
          </cell>
          <cell r="W2388">
            <v>70.650000013411045</v>
          </cell>
          <cell r="X2388">
            <v>4945.5000009387732</v>
          </cell>
          <cell r="Y2388">
            <v>0</v>
          </cell>
          <cell r="Z2388">
            <v>0</v>
          </cell>
        </row>
        <row r="2389">
          <cell r="C2389" t="str">
            <v>EDİRNE</v>
          </cell>
          <cell r="D2389" t="str">
            <v>KEŞAN</v>
          </cell>
          <cell r="H2389" t="str">
            <v>Dağıtım-AG</v>
          </cell>
          <cell r="I2389" t="str">
            <v>Uzun</v>
          </cell>
          <cell r="J2389" t="str">
            <v>Şebeke işletmecisi</v>
          </cell>
          <cell r="K2389" t="str">
            <v>Bildirimsiz</v>
          </cell>
          <cell r="O2389">
            <v>0</v>
          </cell>
          <cell r="P2389">
            <v>1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23.549999993992969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</row>
        <row r="2390">
          <cell r="C2390" t="str">
            <v>EDİRNE</v>
          </cell>
          <cell r="D2390" t="str">
            <v>UZUNKÖPRÜ</v>
          </cell>
          <cell r="H2390" t="str">
            <v>Dağıtım-AG</v>
          </cell>
          <cell r="I2390" t="str">
            <v>Uzun</v>
          </cell>
          <cell r="J2390" t="str">
            <v>Şebeke işletmecisi</v>
          </cell>
          <cell r="K2390" t="str">
            <v>Bildirimsiz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58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1364.9333333666436</v>
          </cell>
        </row>
        <row r="2391">
          <cell r="C2391" t="str">
            <v>EDİRNE</v>
          </cell>
          <cell r="D2391" t="str">
            <v>EDİRNEMERKEZ</v>
          </cell>
          <cell r="H2391" t="str">
            <v>Dağıtım-OG</v>
          </cell>
          <cell r="I2391" t="str">
            <v>Uzun</v>
          </cell>
          <cell r="J2391" t="str">
            <v>Şebeke İşletmecisi</v>
          </cell>
          <cell r="K2391" t="str">
            <v>Bildirimsiz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3</v>
          </cell>
          <cell r="T2391">
            <v>223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70.449999998090789</v>
          </cell>
          <cell r="Z2391">
            <v>5236.7833331914153</v>
          </cell>
        </row>
        <row r="2392">
          <cell r="C2392" t="str">
            <v>TEKİRDAĞ</v>
          </cell>
          <cell r="D2392" t="str">
            <v>MARMARAEREĞLİSİ</v>
          </cell>
          <cell r="H2392" t="str">
            <v>Dağıtım-AG</v>
          </cell>
          <cell r="I2392" t="str">
            <v>Uzun</v>
          </cell>
          <cell r="J2392" t="str">
            <v>Şebeke işletmecisi</v>
          </cell>
          <cell r="K2392" t="str">
            <v>Bildirimsiz</v>
          </cell>
          <cell r="O2392">
            <v>0</v>
          </cell>
          <cell r="P2392">
            <v>19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446.18333332124166</v>
          </cell>
          <cell r="W2392">
            <v>0</v>
          </cell>
          <cell r="X2392">
            <v>23.48333333269693</v>
          </cell>
          <cell r="Y2392">
            <v>0</v>
          </cell>
          <cell r="Z2392">
            <v>0</v>
          </cell>
        </row>
        <row r="2393">
          <cell r="C2393" t="str">
            <v>TEKİRDAĞ</v>
          </cell>
          <cell r="D2393" t="str">
            <v>SÜLEYMANPAŞA</v>
          </cell>
          <cell r="H2393" t="str">
            <v>Dağıtım-AG</v>
          </cell>
          <cell r="I2393" t="str">
            <v>Uzun</v>
          </cell>
          <cell r="J2393" t="str">
            <v>Şebeke işletmecisi</v>
          </cell>
          <cell r="K2393" t="str">
            <v>Bildirimsiz</v>
          </cell>
          <cell r="O2393">
            <v>0</v>
          </cell>
          <cell r="P2393">
            <v>18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422.10000003688037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</row>
        <row r="2394">
          <cell r="C2394" t="str">
            <v>TEKİRDAĞ</v>
          </cell>
          <cell r="D2394" t="str">
            <v>SÜLEYMANPAŞA</v>
          </cell>
          <cell r="H2394" t="str">
            <v>Dağıtım-AG</v>
          </cell>
          <cell r="I2394" t="str">
            <v>Uzun</v>
          </cell>
          <cell r="J2394" t="str">
            <v>Şebeke işletmecisi</v>
          </cell>
          <cell r="K2394" t="str">
            <v>Bildirimsiz</v>
          </cell>
          <cell r="O2394">
            <v>0</v>
          </cell>
          <cell r="P2394">
            <v>16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373.59999999403954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</row>
        <row r="2395">
          <cell r="C2395" t="str">
            <v>EDİRNE</v>
          </cell>
          <cell r="D2395" t="str">
            <v>UZUNKÖPRÜ</v>
          </cell>
          <cell r="H2395" t="str">
            <v>Dağıtım-OG</v>
          </cell>
          <cell r="I2395" t="str">
            <v>Uzun</v>
          </cell>
          <cell r="J2395" t="str">
            <v>Şebeke işletmecisi</v>
          </cell>
          <cell r="K2395" t="str">
            <v>Bildirimsiz</v>
          </cell>
          <cell r="O2395">
            <v>4</v>
          </cell>
          <cell r="P2395">
            <v>0</v>
          </cell>
          <cell r="Q2395">
            <v>0</v>
          </cell>
          <cell r="R2395">
            <v>0</v>
          </cell>
          <cell r="S2395">
            <v>3</v>
          </cell>
          <cell r="T2395">
            <v>0</v>
          </cell>
          <cell r="U2395">
            <v>93.399999998509884</v>
          </cell>
          <cell r="V2395">
            <v>0</v>
          </cell>
          <cell r="W2395">
            <v>0</v>
          </cell>
          <cell r="X2395">
            <v>0</v>
          </cell>
          <cell r="Y2395">
            <v>70.049999998882413</v>
          </cell>
          <cell r="Z2395">
            <v>0</v>
          </cell>
        </row>
        <row r="2396">
          <cell r="C2396" t="str">
            <v>TEKİRDAĞ</v>
          </cell>
          <cell r="D2396" t="str">
            <v>KAPAKLI</v>
          </cell>
          <cell r="H2396" t="str">
            <v>Dağıtım-AG</v>
          </cell>
          <cell r="I2396" t="str">
            <v>Uzun</v>
          </cell>
          <cell r="J2396" t="str">
            <v>Şebeke işletmecisi</v>
          </cell>
          <cell r="K2396" t="str">
            <v>Bildirimsiz</v>
          </cell>
          <cell r="O2396">
            <v>0</v>
          </cell>
          <cell r="P2396">
            <v>5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116.50000004447065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</row>
        <row r="2397">
          <cell r="C2397" t="str">
            <v>TEKİRDAĞ</v>
          </cell>
          <cell r="D2397" t="str">
            <v>MALKARA</v>
          </cell>
          <cell r="H2397" t="str">
            <v>Dağıtım-OG</v>
          </cell>
          <cell r="I2397" t="str">
            <v>Uzun</v>
          </cell>
          <cell r="J2397" t="str">
            <v>Şebeke işletmecisi</v>
          </cell>
          <cell r="K2397" t="str">
            <v>Bildirimsiz</v>
          </cell>
          <cell r="O2397">
            <v>1</v>
          </cell>
          <cell r="P2397">
            <v>103</v>
          </cell>
          <cell r="Q2397">
            <v>4</v>
          </cell>
          <cell r="R2397">
            <v>0</v>
          </cell>
          <cell r="S2397">
            <v>1</v>
          </cell>
          <cell r="T2397">
            <v>217</v>
          </cell>
          <cell r="U2397">
            <v>23.300000008894131</v>
          </cell>
          <cell r="V2397">
            <v>2399.9000009160955</v>
          </cell>
          <cell r="W2397">
            <v>93.200000035576522</v>
          </cell>
          <cell r="X2397">
            <v>0</v>
          </cell>
          <cell r="Y2397">
            <v>23.300000008894131</v>
          </cell>
          <cell r="Z2397">
            <v>5056.1000019300263</v>
          </cell>
        </row>
        <row r="2398">
          <cell r="C2398" t="str">
            <v>TEKİRDAĞ</v>
          </cell>
          <cell r="D2398" t="str">
            <v>KAPAKLI</v>
          </cell>
          <cell r="H2398" t="str">
            <v>Dağıtım-AG</v>
          </cell>
          <cell r="I2398" t="str">
            <v>Uzun</v>
          </cell>
          <cell r="J2398" t="str">
            <v>Şebeke işletmecisi</v>
          </cell>
          <cell r="K2398" t="str">
            <v>Bildirimsiz</v>
          </cell>
          <cell r="O2398">
            <v>0</v>
          </cell>
          <cell r="P2398">
            <v>2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46.466666674241424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</row>
        <row r="2399">
          <cell r="C2399" t="str">
            <v>TEKİRDAĞ</v>
          </cell>
          <cell r="D2399" t="str">
            <v>MARMARAEREĞLİSİ</v>
          </cell>
          <cell r="H2399" t="str">
            <v>Dağıtım-OG</v>
          </cell>
          <cell r="I2399" t="str">
            <v>Uzun</v>
          </cell>
          <cell r="J2399" t="str">
            <v>Şebeke işletmecisi</v>
          </cell>
          <cell r="K2399" t="str">
            <v>Bildirimli</v>
          </cell>
          <cell r="O2399">
            <v>0</v>
          </cell>
          <cell r="P2399">
            <v>12</v>
          </cell>
          <cell r="Q2399">
            <v>19</v>
          </cell>
          <cell r="R2399">
            <v>2583</v>
          </cell>
          <cell r="S2399">
            <v>0</v>
          </cell>
          <cell r="T2399">
            <v>0</v>
          </cell>
          <cell r="U2399">
            <v>0</v>
          </cell>
          <cell r="V2399">
            <v>278.39999995194376</v>
          </cell>
          <cell r="W2399">
            <v>440.79999992391095</v>
          </cell>
          <cell r="X2399">
            <v>59925.599989655893</v>
          </cell>
          <cell r="Y2399">
            <v>0</v>
          </cell>
          <cell r="Z2399">
            <v>0</v>
          </cell>
        </row>
        <row r="2400">
          <cell r="C2400" t="str">
            <v>KIRKLARELİ</v>
          </cell>
          <cell r="D2400" t="str">
            <v>LÜLEBURGAZ</v>
          </cell>
          <cell r="H2400" t="str">
            <v>Dağıtım-AG</v>
          </cell>
          <cell r="I2400" t="str">
            <v>Uzun</v>
          </cell>
          <cell r="J2400" t="str">
            <v>Şebeke işletmecisi</v>
          </cell>
          <cell r="K2400" t="str">
            <v>Bildirimsiz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18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417.30000004637986</v>
          </cell>
        </row>
        <row r="2401">
          <cell r="C2401" t="str">
            <v>TEKİRDAĞ</v>
          </cell>
          <cell r="D2401" t="str">
            <v>MARMARAEREĞLİSİ</v>
          </cell>
          <cell r="H2401" t="str">
            <v>Dağıtım-AG</v>
          </cell>
          <cell r="I2401" t="str">
            <v>Uzun</v>
          </cell>
          <cell r="J2401" t="str">
            <v>Şebeke işletmecisi</v>
          </cell>
          <cell r="K2401" t="str">
            <v>Bildirimsiz</v>
          </cell>
          <cell r="O2401">
            <v>0</v>
          </cell>
          <cell r="P2401">
            <v>0</v>
          </cell>
          <cell r="Q2401">
            <v>0</v>
          </cell>
          <cell r="R2401">
            <v>10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230.83333333488554</v>
          </cell>
          <cell r="Y2401">
            <v>0</v>
          </cell>
          <cell r="Z2401">
            <v>0</v>
          </cell>
        </row>
        <row r="2402">
          <cell r="C2402" t="str">
            <v>TEKİRDAĞ</v>
          </cell>
          <cell r="D2402" t="str">
            <v>SÜLEYMANPAŞA</v>
          </cell>
          <cell r="H2402" t="str">
            <v>Dağıtım-AG</v>
          </cell>
          <cell r="I2402" t="str">
            <v>Uzun</v>
          </cell>
          <cell r="J2402" t="str">
            <v>Şebeke işletmecisi</v>
          </cell>
          <cell r="K2402" t="str">
            <v>Bildirimsiz</v>
          </cell>
          <cell r="O2402">
            <v>0</v>
          </cell>
          <cell r="P2402">
            <v>1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23.066666662925854</v>
          </cell>
          <cell r="W2402">
            <v>0</v>
          </cell>
          <cell r="X2402">
            <v>0</v>
          </cell>
          <cell r="Y2402">
            <v>0</v>
          </cell>
          <cell r="Z2402">
            <v>0</v>
          </cell>
        </row>
        <row r="2403">
          <cell r="C2403" t="str">
            <v>EDİRNE</v>
          </cell>
          <cell r="D2403" t="str">
            <v>UZUNKÖPRÜ</v>
          </cell>
          <cell r="H2403" t="str">
            <v>Dağıtım-OG</v>
          </cell>
          <cell r="I2403" t="str">
            <v>Uzun</v>
          </cell>
          <cell r="J2403" t="str">
            <v>Şebeke İşletmecisi</v>
          </cell>
          <cell r="K2403" t="str">
            <v>Bildirimsiz</v>
          </cell>
          <cell r="O2403">
            <v>17</v>
          </cell>
          <cell r="P2403">
            <v>25</v>
          </cell>
          <cell r="Q2403">
            <v>0</v>
          </cell>
          <cell r="R2403">
            <v>11</v>
          </cell>
          <cell r="S2403">
            <v>93</v>
          </cell>
          <cell r="T2403">
            <v>5242</v>
          </cell>
          <cell r="U2403">
            <v>391.85000004828908</v>
          </cell>
          <cell r="V2403">
            <v>576.25000007101335</v>
          </cell>
          <cell r="W2403">
            <v>0</v>
          </cell>
          <cell r="X2403">
            <v>253.55000003124587</v>
          </cell>
          <cell r="Y2403">
            <v>2143.6500002641696</v>
          </cell>
          <cell r="Z2403">
            <v>120828.10001489008</v>
          </cell>
        </row>
        <row r="2404">
          <cell r="C2404" t="str">
            <v>EDİRNE</v>
          </cell>
          <cell r="D2404" t="str">
            <v>LALAPAŞA</v>
          </cell>
          <cell r="H2404" t="str">
            <v>Dağıtım-AG</v>
          </cell>
          <cell r="I2404" t="str">
            <v>Uzun</v>
          </cell>
          <cell r="J2404" t="str">
            <v>Şebeke işletmecisi</v>
          </cell>
          <cell r="K2404" t="str">
            <v>Bildirimsiz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39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897.00000006356277</v>
          </cell>
        </row>
        <row r="2405">
          <cell r="C2405" t="str">
            <v>EDİRNE</v>
          </cell>
          <cell r="D2405" t="str">
            <v>KEŞAN</v>
          </cell>
          <cell r="H2405" t="str">
            <v>Dağıtım-AG</v>
          </cell>
          <cell r="I2405" t="str">
            <v>Uzun</v>
          </cell>
          <cell r="J2405" t="str">
            <v>Şebeke işletmecisi</v>
          </cell>
          <cell r="K2405" t="str">
            <v>Bildirimsiz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15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344.74999996600673</v>
          </cell>
        </row>
        <row r="2406">
          <cell r="C2406" t="str">
            <v>TEKİRDAĞ</v>
          </cell>
          <cell r="D2406" t="str">
            <v>MARMARAEREĞLİSİ</v>
          </cell>
          <cell r="H2406" t="str">
            <v>Dağıtım-AG</v>
          </cell>
          <cell r="I2406" t="str">
            <v>Uzun</v>
          </cell>
          <cell r="J2406" t="str">
            <v>Şebeke işletmecisi</v>
          </cell>
          <cell r="K2406" t="str">
            <v>Bildirimsiz</v>
          </cell>
          <cell r="O2406">
            <v>0</v>
          </cell>
          <cell r="P2406">
            <v>0</v>
          </cell>
          <cell r="Q2406">
            <v>0</v>
          </cell>
          <cell r="R2406">
            <v>6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137.79999996302649</v>
          </cell>
          <cell r="Y2406">
            <v>0</v>
          </cell>
          <cell r="Z2406">
            <v>0</v>
          </cell>
        </row>
        <row r="2407">
          <cell r="C2407" t="str">
            <v>TEKİRDAĞ</v>
          </cell>
          <cell r="D2407" t="str">
            <v>MARMARAEREĞLİSİ</v>
          </cell>
          <cell r="H2407" t="str">
            <v>Dağıtım-OG</v>
          </cell>
          <cell r="I2407" t="str">
            <v>Uzun</v>
          </cell>
          <cell r="J2407" t="str">
            <v>Şebeke işletmecisi</v>
          </cell>
          <cell r="K2407" t="str">
            <v>Bildirimli</v>
          </cell>
          <cell r="O2407">
            <v>5</v>
          </cell>
          <cell r="P2407">
            <v>46</v>
          </cell>
          <cell r="Q2407">
            <v>43</v>
          </cell>
          <cell r="R2407">
            <v>9805</v>
          </cell>
          <cell r="S2407">
            <v>0</v>
          </cell>
          <cell r="T2407">
            <v>15</v>
          </cell>
          <cell r="U2407">
            <v>114.83333330252208</v>
          </cell>
          <cell r="V2407">
            <v>1056.4666663832031</v>
          </cell>
          <cell r="W2407">
            <v>987.56666640168987</v>
          </cell>
          <cell r="X2407">
            <v>225188.1666062458</v>
          </cell>
          <cell r="Y2407">
            <v>0</v>
          </cell>
          <cell r="Z2407">
            <v>344.49999990756623</v>
          </cell>
        </row>
        <row r="2408">
          <cell r="C2408" t="str">
            <v>TEKİRDAĞ</v>
          </cell>
          <cell r="D2408" t="str">
            <v>KAPAKLI</v>
          </cell>
          <cell r="H2408" t="str">
            <v>Dağıtım-AG</v>
          </cell>
          <cell r="I2408" t="str">
            <v>Uzun</v>
          </cell>
          <cell r="J2408" t="str">
            <v>Şebeke işletmecisi</v>
          </cell>
          <cell r="K2408" t="str">
            <v>Bildirimsiz</v>
          </cell>
          <cell r="O2408">
            <v>0</v>
          </cell>
          <cell r="P2408">
            <v>269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6155.6166682241019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</row>
        <row r="2409">
          <cell r="C2409" t="str">
            <v>TEKİRDAĞ</v>
          </cell>
          <cell r="D2409" t="str">
            <v>MALKARA</v>
          </cell>
          <cell r="H2409" t="str">
            <v>Dağıtım-AG</v>
          </cell>
          <cell r="I2409" t="str">
            <v>Uzun</v>
          </cell>
          <cell r="J2409" t="str">
            <v>Şebeke işletmecisi</v>
          </cell>
          <cell r="K2409" t="str">
            <v>Bildirimsiz</v>
          </cell>
          <cell r="O2409">
            <v>0</v>
          </cell>
          <cell r="P2409">
            <v>7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160.18333330051973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</row>
        <row r="2410">
          <cell r="C2410" t="str">
            <v>TEKİRDAĞ</v>
          </cell>
          <cell r="D2410" t="str">
            <v>MURATLI</v>
          </cell>
          <cell r="H2410" t="str">
            <v>Dağıtım-OG</v>
          </cell>
          <cell r="I2410" t="str">
            <v>Uzun</v>
          </cell>
          <cell r="J2410" t="str">
            <v>Şebeke işletmecisi</v>
          </cell>
          <cell r="K2410" t="str">
            <v>Bildirimsiz</v>
          </cell>
          <cell r="O2410">
            <v>2</v>
          </cell>
          <cell r="P2410">
            <v>426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45.566666673403233</v>
          </cell>
          <cell r="V2410">
            <v>9705.7000014348887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</row>
        <row r="2411">
          <cell r="C2411" t="str">
            <v>KIRKLARELİ</v>
          </cell>
          <cell r="D2411" t="str">
            <v>BABAESKİ</v>
          </cell>
          <cell r="H2411" t="str">
            <v>Dağıtım-AG</v>
          </cell>
          <cell r="I2411" t="str">
            <v>Uzun</v>
          </cell>
          <cell r="J2411" t="str">
            <v>Şebeke işletmecisi</v>
          </cell>
          <cell r="K2411" t="str">
            <v>Bildirimsiz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30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683.5000001010485</v>
          </cell>
        </row>
        <row r="2412">
          <cell r="C2412" t="str">
            <v>EDİRNE</v>
          </cell>
          <cell r="D2412" t="str">
            <v>UZUNKÖPRÜ</v>
          </cell>
          <cell r="H2412" t="str">
            <v>Dağıtım-OG</v>
          </cell>
          <cell r="I2412" t="str">
            <v>Uzun</v>
          </cell>
          <cell r="J2412" t="str">
            <v>Şebeke işletmecisi</v>
          </cell>
          <cell r="K2412" t="str">
            <v>Bildirimsiz</v>
          </cell>
          <cell r="O2412">
            <v>7</v>
          </cell>
          <cell r="P2412">
            <v>0</v>
          </cell>
          <cell r="Q2412">
            <v>0</v>
          </cell>
          <cell r="R2412">
            <v>0</v>
          </cell>
          <cell r="S2412">
            <v>2</v>
          </cell>
          <cell r="T2412">
            <v>0</v>
          </cell>
          <cell r="U2412">
            <v>159.48333335691132</v>
          </cell>
          <cell r="V2412">
            <v>0</v>
          </cell>
          <cell r="W2412">
            <v>0</v>
          </cell>
          <cell r="X2412">
            <v>0</v>
          </cell>
          <cell r="Y2412">
            <v>45.566666673403233</v>
          </cell>
          <cell r="Z2412">
            <v>0</v>
          </cell>
        </row>
        <row r="2413">
          <cell r="C2413" t="str">
            <v>TEKİRDAĞ</v>
          </cell>
          <cell r="D2413" t="str">
            <v>MARMARAEREĞLİSİ</v>
          </cell>
          <cell r="H2413" t="str">
            <v>Dağıtım-AG</v>
          </cell>
          <cell r="I2413" t="str">
            <v>Uzun</v>
          </cell>
          <cell r="J2413" t="str">
            <v>Şebeke işletmecisi</v>
          </cell>
          <cell r="K2413" t="str">
            <v>Bildirimsiz</v>
          </cell>
          <cell r="O2413">
            <v>0</v>
          </cell>
          <cell r="P2413">
            <v>31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705.76666665030643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</row>
        <row r="2414">
          <cell r="C2414" t="str">
            <v>TEKİRDAĞ</v>
          </cell>
          <cell r="D2414" t="str">
            <v>ŞARKÖY</v>
          </cell>
          <cell r="H2414" t="str">
            <v>Dağıtım-AG</v>
          </cell>
          <cell r="I2414" t="str">
            <v>Uzun</v>
          </cell>
          <cell r="J2414" t="str">
            <v>Şebeke işletmecisi</v>
          </cell>
          <cell r="K2414" t="str">
            <v>Bildirimsiz</v>
          </cell>
          <cell r="O2414">
            <v>0</v>
          </cell>
          <cell r="P2414">
            <v>0</v>
          </cell>
          <cell r="Q2414">
            <v>0</v>
          </cell>
          <cell r="R2414">
            <v>96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2185.5999999493361</v>
          </cell>
          <cell r="Y2414">
            <v>0</v>
          </cell>
          <cell r="Z2414">
            <v>0</v>
          </cell>
        </row>
        <row r="2415">
          <cell r="C2415" t="str">
            <v>TEKİRDAĞ</v>
          </cell>
          <cell r="D2415" t="str">
            <v>ERGENE</v>
          </cell>
          <cell r="H2415" t="str">
            <v>Dağıtım-OG</v>
          </cell>
          <cell r="I2415" t="str">
            <v>Uzun</v>
          </cell>
          <cell r="J2415" t="str">
            <v>Şebeke işletmecisi</v>
          </cell>
          <cell r="K2415" t="str">
            <v>Bildirimsiz</v>
          </cell>
          <cell r="O2415">
            <v>7</v>
          </cell>
          <cell r="P2415">
            <v>14</v>
          </cell>
          <cell r="Q2415">
            <v>0</v>
          </cell>
          <cell r="R2415">
            <v>0</v>
          </cell>
          <cell r="S2415">
            <v>0</v>
          </cell>
          <cell r="T2415">
            <v>1</v>
          </cell>
          <cell r="U2415">
            <v>159.01666665449739</v>
          </cell>
          <cell r="V2415">
            <v>318.03333330899477</v>
          </cell>
          <cell r="W2415">
            <v>0</v>
          </cell>
          <cell r="X2415">
            <v>0</v>
          </cell>
          <cell r="Y2415">
            <v>0</v>
          </cell>
          <cell r="Z2415">
            <v>22.716666664928198</v>
          </cell>
        </row>
        <row r="2416">
          <cell r="C2416" t="str">
            <v>TEKİRDAĞ</v>
          </cell>
          <cell r="D2416" t="str">
            <v>MARMARAEREĞLİSİ</v>
          </cell>
          <cell r="H2416" t="str">
            <v>Dağıtım-AG</v>
          </cell>
          <cell r="I2416" t="str">
            <v>Uzun</v>
          </cell>
          <cell r="J2416" t="str">
            <v>Şebeke işletmecisi</v>
          </cell>
          <cell r="K2416" t="str">
            <v>Bildirimsiz</v>
          </cell>
          <cell r="O2416">
            <v>0</v>
          </cell>
          <cell r="P2416">
            <v>0</v>
          </cell>
          <cell r="Q2416">
            <v>0</v>
          </cell>
          <cell r="R2416">
            <v>2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45.333333348389715</v>
          </cell>
          <cell r="Y2416">
            <v>0</v>
          </cell>
          <cell r="Z2416">
            <v>0</v>
          </cell>
        </row>
        <row r="2417">
          <cell r="C2417" t="str">
            <v>EDİRNE</v>
          </cell>
          <cell r="D2417" t="str">
            <v>KEŞAN</v>
          </cell>
          <cell r="H2417" t="str">
            <v>Dağıtım-OG</v>
          </cell>
          <cell r="I2417" t="str">
            <v>Uzun</v>
          </cell>
          <cell r="J2417" t="str">
            <v>Şebeke işletmecisi</v>
          </cell>
          <cell r="K2417" t="str">
            <v>Bildirimsiz</v>
          </cell>
          <cell r="O2417">
            <v>0</v>
          </cell>
          <cell r="P2417">
            <v>1</v>
          </cell>
          <cell r="Q2417">
            <v>0</v>
          </cell>
          <cell r="R2417">
            <v>0</v>
          </cell>
          <cell r="S2417">
            <v>0</v>
          </cell>
          <cell r="T2417">
            <v>549</v>
          </cell>
          <cell r="U2417">
            <v>0</v>
          </cell>
          <cell r="V2417">
            <v>22.650000003632158</v>
          </cell>
          <cell r="W2417">
            <v>0</v>
          </cell>
          <cell r="X2417">
            <v>0</v>
          </cell>
          <cell r="Y2417">
            <v>0</v>
          </cell>
          <cell r="Z2417">
            <v>12434.850001994055</v>
          </cell>
        </row>
        <row r="2418">
          <cell r="C2418" t="str">
            <v>TEKİRDAĞ</v>
          </cell>
          <cell r="D2418" t="str">
            <v>MARMARAEREĞLİSİ</v>
          </cell>
          <cell r="H2418" t="str">
            <v>Dağıtım-AG</v>
          </cell>
          <cell r="I2418" t="str">
            <v>Uzun</v>
          </cell>
          <cell r="J2418" t="str">
            <v>Şebeke işletmecisi</v>
          </cell>
          <cell r="K2418" t="str">
            <v>Bildirimsiz</v>
          </cell>
          <cell r="O2418">
            <v>0</v>
          </cell>
          <cell r="P2418">
            <v>4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90.533333332277834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</row>
        <row r="2419">
          <cell r="C2419" t="str">
            <v>KIRKLARELİ</v>
          </cell>
          <cell r="D2419" t="str">
            <v>KIRKLARELİMERKEZ</v>
          </cell>
          <cell r="H2419" t="str">
            <v>Dağıtım-OG</v>
          </cell>
          <cell r="I2419" t="str">
            <v>Uzun</v>
          </cell>
          <cell r="J2419" t="str">
            <v>Şebeke işletmecisi</v>
          </cell>
          <cell r="K2419" t="str">
            <v>Bildirimsiz</v>
          </cell>
          <cell r="O2419">
            <v>2</v>
          </cell>
          <cell r="P2419">
            <v>1</v>
          </cell>
          <cell r="Q2419">
            <v>0</v>
          </cell>
          <cell r="R2419">
            <v>0</v>
          </cell>
          <cell r="S2419">
            <v>10</v>
          </cell>
          <cell r="T2419">
            <v>0</v>
          </cell>
          <cell r="U2419">
            <v>45.166666663717479</v>
          </cell>
          <cell r="V2419">
            <v>22.583333331858739</v>
          </cell>
          <cell r="W2419">
            <v>0</v>
          </cell>
          <cell r="X2419">
            <v>0</v>
          </cell>
          <cell r="Y2419">
            <v>225.83333331858739</v>
          </cell>
          <cell r="Z2419">
            <v>0</v>
          </cell>
        </row>
        <row r="2420">
          <cell r="C2420" t="str">
            <v>EDİRNE</v>
          </cell>
          <cell r="D2420" t="str">
            <v>EDİRNEMERKEZ</v>
          </cell>
          <cell r="H2420" t="str">
            <v>Dağıtım-OG</v>
          </cell>
          <cell r="I2420" t="str">
            <v>Uzun</v>
          </cell>
          <cell r="J2420" t="str">
            <v>Şebeke İşletmecisi</v>
          </cell>
          <cell r="K2420" t="str">
            <v>Bildirimsiz</v>
          </cell>
          <cell r="O2420">
            <v>0</v>
          </cell>
          <cell r="P2420">
            <v>1880</v>
          </cell>
          <cell r="Q2420">
            <v>0</v>
          </cell>
          <cell r="R2420">
            <v>0</v>
          </cell>
          <cell r="S2420">
            <v>1</v>
          </cell>
          <cell r="T2420">
            <v>3</v>
          </cell>
          <cell r="U2420">
            <v>0</v>
          </cell>
          <cell r="V2420">
            <v>42425.333342934027</v>
          </cell>
          <cell r="W2420">
            <v>0</v>
          </cell>
          <cell r="X2420">
            <v>0</v>
          </cell>
          <cell r="Y2420">
            <v>22.566666671773419</v>
          </cell>
          <cell r="Z2420">
            <v>67.700000015320256</v>
          </cell>
        </row>
        <row r="2421">
          <cell r="C2421" t="str">
            <v>KIRKLARELİ</v>
          </cell>
          <cell r="D2421" t="str">
            <v>BABAESKİ</v>
          </cell>
          <cell r="H2421" t="str">
            <v>Dağıtım-AG</v>
          </cell>
          <cell r="I2421" t="str">
            <v>Uzun</v>
          </cell>
          <cell r="J2421" t="str">
            <v>Şebeke işletmecisi</v>
          </cell>
          <cell r="K2421" t="str">
            <v>Bildirimsiz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82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1849.100000099279</v>
          </cell>
        </row>
        <row r="2422">
          <cell r="C2422" t="str">
            <v>KIRKLARELİ</v>
          </cell>
          <cell r="D2422" t="str">
            <v>BABAESKİ</v>
          </cell>
          <cell r="H2422" t="str">
            <v>Dağıtım-AG</v>
          </cell>
          <cell r="I2422" t="str">
            <v>Uzun</v>
          </cell>
          <cell r="J2422" t="str">
            <v>Şebeke işletmecisi</v>
          </cell>
          <cell r="K2422" t="str">
            <v>Bildirimsiz</v>
          </cell>
          <cell r="O2422">
            <v>0</v>
          </cell>
          <cell r="P2422">
            <v>3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67.650000003632158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</row>
        <row r="2423">
          <cell r="C2423" t="str">
            <v>TEKİRDAĞ</v>
          </cell>
          <cell r="D2423" t="str">
            <v>SÜLEYMANPAŞA</v>
          </cell>
          <cell r="H2423" t="str">
            <v>Dağıtım-OG</v>
          </cell>
          <cell r="I2423" t="str">
            <v>Uzun</v>
          </cell>
          <cell r="J2423" t="str">
            <v>Şebeke İşletmecisi</v>
          </cell>
          <cell r="K2423" t="str">
            <v>Bildirimsiz</v>
          </cell>
          <cell r="O2423">
            <v>0</v>
          </cell>
          <cell r="P2423">
            <v>1775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39967.083321651444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</row>
        <row r="2424">
          <cell r="C2424" t="str">
            <v>KIRKLARELİ</v>
          </cell>
          <cell r="D2424" t="str">
            <v>LÜLEBURGAZ</v>
          </cell>
          <cell r="H2424" t="str">
            <v>Dağıtım-AG</v>
          </cell>
          <cell r="I2424" t="str">
            <v>Uzun</v>
          </cell>
          <cell r="J2424" t="str">
            <v>Şebeke işletmecisi</v>
          </cell>
          <cell r="K2424" t="str">
            <v>Bildirimsiz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18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403.80000009667128</v>
          </cell>
        </row>
        <row r="2425">
          <cell r="C2425" t="str">
            <v>EDİRNE</v>
          </cell>
          <cell r="D2425" t="str">
            <v>EDİRNEMERKEZ</v>
          </cell>
          <cell r="H2425" t="str">
            <v>Dağıtım-AG</v>
          </cell>
          <cell r="I2425" t="str">
            <v>Uzun</v>
          </cell>
          <cell r="J2425" t="str">
            <v>Şebeke işletmecisi</v>
          </cell>
          <cell r="K2425" t="str">
            <v>Bildirimsiz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2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44.799999995157123</v>
          </cell>
        </row>
        <row r="2426">
          <cell r="C2426" t="str">
            <v>KIRKLARELİ</v>
          </cell>
          <cell r="D2426" t="str">
            <v>LÜLEBURGAZ</v>
          </cell>
          <cell r="H2426" t="str">
            <v>Dağıtım-AG</v>
          </cell>
          <cell r="I2426" t="str">
            <v>Uzun</v>
          </cell>
          <cell r="J2426" t="str">
            <v>Şebeke işletmecisi</v>
          </cell>
          <cell r="K2426" t="str">
            <v>Bildirimsiz</v>
          </cell>
          <cell r="O2426">
            <v>0</v>
          </cell>
          <cell r="P2426">
            <v>2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44.666666672565043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</row>
        <row r="2427">
          <cell r="C2427" t="str">
            <v>EDİRNE</v>
          </cell>
          <cell r="D2427" t="str">
            <v>KEŞAN</v>
          </cell>
          <cell r="H2427" t="str">
            <v>Dağıtım-AG</v>
          </cell>
          <cell r="I2427" t="str">
            <v>Uzun</v>
          </cell>
          <cell r="J2427" t="str">
            <v>Şebeke işletmecisi</v>
          </cell>
          <cell r="K2427" t="str">
            <v>Bildirimsiz</v>
          </cell>
          <cell r="O2427">
            <v>0</v>
          </cell>
          <cell r="P2427">
            <v>1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22.316666665719822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</row>
        <row r="2428">
          <cell r="C2428" t="str">
            <v>TEKİRDAĞ</v>
          </cell>
          <cell r="D2428" t="str">
            <v>MURATLI</v>
          </cell>
          <cell r="H2428" t="str">
            <v>Dağıtım-OG</v>
          </cell>
          <cell r="I2428" t="str">
            <v>Uzun</v>
          </cell>
          <cell r="J2428" t="str">
            <v>Şebeke işletmecisi</v>
          </cell>
          <cell r="K2428" t="str">
            <v>Bildirimsiz</v>
          </cell>
          <cell r="O2428">
            <v>1</v>
          </cell>
          <cell r="P2428">
            <v>1311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22.283333335071802</v>
          </cell>
          <cell r="V2428">
            <v>29213.450002279133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</row>
        <row r="2429">
          <cell r="C2429" t="str">
            <v>EDİRNE</v>
          </cell>
          <cell r="D2429" t="str">
            <v>KEŞAN</v>
          </cell>
          <cell r="H2429" t="str">
            <v>Dağıtım-AG</v>
          </cell>
          <cell r="I2429" t="str">
            <v>Uzun</v>
          </cell>
          <cell r="J2429" t="str">
            <v>Şebeke işletmecisi</v>
          </cell>
          <cell r="K2429" t="str">
            <v>Bildirimsiz</v>
          </cell>
          <cell r="O2429">
            <v>0</v>
          </cell>
          <cell r="P2429">
            <v>1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22.133333331439644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</row>
        <row r="2430">
          <cell r="C2430" t="str">
            <v>TEKİRDAĞ</v>
          </cell>
          <cell r="D2430" t="str">
            <v>MARMARAEREĞLİSİ</v>
          </cell>
          <cell r="H2430" t="str">
            <v>Dağıtım-AG</v>
          </cell>
          <cell r="I2430" t="str">
            <v>Uzun</v>
          </cell>
          <cell r="J2430" t="str">
            <v>Şebeke işletmecisi</v>
          </cell>
          <cell r="K2430" t="str">
            <v>Bildirimsiz</v>
          </cell>
          <cell r="O2430">
            <v>0</v>
          </cell>
          <cell r="P2430">
            <v>12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265.39999993052334</v>
          </cell>
          <cell r="W2430">
            <v>0</v>
          </cell>
          <cell r="X2430">
            <v>0</v>
          </cell>
          <cell r="Y2430">
            <v>0</v>
          </cell>
          <cell r="Z2430">
            <v>0</v>
          </cell>
        </row>
        <row r="2431">
          <cell r="C2431" t="str">
            <v>TEKİRDAĞ</v>
          </cell>
          <cell r="D2431" t="str">
            <v>ŞARKÖY</v>
          </cell>
          <cell r="H2431" t="str">
            <v>Dağıtım-AG</v>
          </cell>
          <cell r="I2431" t="str">
            <v>Uzun</v>
          </cell>
          <cell r="J2431" t="str">
            <v>Şebeke işletmecisi</v>
          </cell>
          <cell r="K2431" t="str">
            <v>Bildirimsiz</v>
          </cell>
          <cell r="O2431">
            <v>0</v>
          </cell>
          <cell r="P2431">
            <v>1</v>
          </cell>
          <cell r="Q2431">
            <v>0</v>
          </cell>
          <cell r="R2431">
            <v>472</v>
          </cell>
          <cell r="S2431">
            <v>0</v>
          </cell>
          <cell r="T2431">
            <v>0</v>
          </cell>
          <cell r="U2431">
            <v>0</v>
          </cell>
          <cell r="V2431">
            <v>22.116666660876945</v>
          </cell>
          <cell r="W2431">
            <v>0</v>
          </cell>
          <cell r="X2431">
            <v>10439.066663933918</v>
          </cell>
          <cell r="Y2431">
            <v>0</v>
          </cell>
          <cell r="Z2431">
            <v>0</v>
          </cell>
        </row>
        <row r="2432">
          <cell r="C2432" t="str">
            <v>EDİRNE</v>
          </cell>
          <cell r="D2432" t="str">
            <v>EDİRNEMERKEZ</v>
          </cell>
          <cell r="H2432" t="str">
            <v>Dağıtım-AG</v>
          </cell>
          <cell r="I2432" t="str">
            <v>Uzun</v>
          </cell>
          <cell r="J2432" t="str">
            <v>Şebeke işletmecisi</v>
          </cell>
          <cell r="K2432" t="str">
            <v>Bildirimsiz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4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88.466666643507779</v>
          </cell>
        </row>
        <row r="2433">
          <cell r="C2433" t="str">
            <v>EDİRNE</v>
          </cell>
          <cell r="D2433" t="str">
            <v>MERİÇ</v>
          </cell>
          <cell r="H2433" t="str">
            <v>Dağıtım-AG</v>
          </cell>
          <cell r="I2433" t="str">
            <v>Uzun</v>
          </cell>
          <cell r="J2433" t="str">
            <v>Şebeke işletmecisi</v>
          </cell>
          <cell r="K2433" t="str">
            <v>Bildirimsiz</v>
          </cell>
          <cell r="O2433">
            <v>0</v>
          </cell>
          <cell r="P2433">
            <v>0</v>
          </cell>
          <cell r="Q2433">
            <v>0</v>
          </cell>
          <cell r="R2433">
            <v>42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927.50000030966476</v>
          </cell>
          <cell r="Y2433">
            <v>0</v>
          </cell>
          <cell r="Z2433">
            <v>0</v>
          </cell>
        </row>
        <row r="2434">
          <cell r="C2434" t="str">
            <v>TEKİRDAĞ</v>
          </cell>
          <cell r="D2434" t="str">
            <v>ÇORLU</v>
          </cell>
          <cell r="H2434" t="str">
            <v>Dağıtım-OG</v>
          </cell>
          <cell r="I2434" t="str">
            <v>Uzun</v>
          </cell>
          <cell r="J2434" t="str">
            <v>Şebeke İşletmecisi</v>
          </cell>
          <cell r="K2434" t="str">
            <v>Bildirimsiz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3</v>
          </cell>
          <cell r="T2434">
            <v>370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66.200000010430813</v>
          </cell>
          <cell r="Z2434">
            <v>8164.6666679531336</v>
          </cell>
        </row>
        <row r="2435">
          <cell r="C2435" t="str">
            <v>TEKİRDAĞ</v>
          </cell>
          <cell r="D2435" t="str">
            <v>ŞARKÖY</v>
          </cell>
          <cell r="H2435" t="str">
            <v>Dağıtım-AG</v>
          </cell>
          <cell r="I2435" t="str">
            <v>Uzun</v>
          </cell>
          <cell r="J2435" t="str">
            <v>Şebeke işletmecisi</v>
          </cell>
          <cell r="K2435" t="str">
            <v>Bildirimsiz</v>
          </cell>
          <cell r="O2435">
            <v>0</v>
          </cell>
          <cell r="P2435">
            <v>0</v>
          </cell>
          <cell r="Q2435">
            <v>0</v>
          </cell>
          <cell r="R2435">
            <v>3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66.149999998742715</v>
          </cell>
          <cell r="Y2435">
            <v>0</v>
          </cell>
          <cell r="Z2435">
            <v>0</v>
          </cell>
        </row>
        <row r="2436">
          <cell r="C2436" t="str">
            <v>TEKİRDAĞ</v>
          </cell>
          <cell r="D2436" t="str">
            <v>SARAY</v>
          </cell>
          <cell r="H2436" t="str">
            <v>Dağıtım-AG</v>
          </cell>
          <cell r="I2436" t="str">
            <v>Uzun</v>
          </cell>
          <cell r="J2436" t="str">
            <v>Şebeke işletmecisi</v>
          </cell>
          <cell r="K2436" t="str">
            <v>Bildirimsiz</v>
          </cell>
          <cell r="O2436">
            <v>0</v>
          </cell>
          <cell r="P2436">
            <v>0</v>
          </cell>
          <cell r="Q2436">
            <v>0</v>
          </cell>
          <cell r="R2436">
            <v>2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44.066666658036411</v>
          </cell>
          <cell r="Y2436">
            <v>0</v>
          </cell>
          <cell r="Z2436">
            <v>0</v>
          </cell>
        </row>
        <row r="2437">
          <cell r="C2437" t="str">
            <v>EDİRNE</v>
          </cell>
          <cell r="D2437" t="str">
            <v>UZUNKÖPRÜ</v>
          </cell>
          <cell r="H2437" t="str">
            <v>Dağıtım-AG</v>
          </cell>
          <cell r="I2437" t="str">
            <v>Uzun</v>
          </cell>
          <cell r="J2437" t="str">
            <v>Şebeke işletmecisi</v>
          </cell>
          <cell r="K2437" t="str">
            <v>Bildirimsiz</v>
          </cell>
          <cell r="O2437">
            <v>0</v>
          </cell>
          <cell r="P2437">
            <v>1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22.033333329018205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</row>
        <row r="2438">
          <cell r="C2438" t="str">
            <v>EDİRNE</v>
          </cell>
          <cell r="D2438" t="str">
            <v>UZUNKÖPRÜ</v>
          </cell>
          <cell r="H2438" t="str">
            <v>Dağıtım-AG</v>
          </cell>
          <cell r="I2438" t="str">
            <v>Uzun</v>
          </cell>
          <cell r="J2438" t="str">
            <v>Şebeke işletmecisi</v>
          </cell>
          <cell r="K2438" t="str">
            <v>Bildirimsiz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182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4007.0333337457851</v>
          </cell>
        </row>
        <row r="2439">
          <cell r="C2439" t="str">
            <v>TEKİRDAĞ</v>
          </cell>
          <cell r="D2439" t="str">
            <v>MALKARA</v>
          </cell>
          <cell r="H2439" t="str">
            <v>Dağıtım-OG</v>
          </cell>
          <cell r="I2439" t="str">
            <v>Uzun</v>
          </cell>
          <cell r="J2439" t="str">
            <v>Şebeke işletmecisi</v>
          </cell>
          <cell r="K2439" t="str">
            <v>Bildirimsiz</v>
          </cell>
          <cell r="O2439">
            <v>1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22.016666668932885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</row>
        <row r="2440">
          <cell r="C2440" t="str">
            <v>EDİRNE</v>
          </cell>
          <cell r="D2440" t="str">
            <v>İPSALA</v>
          </cell>
          <cell r="H2440" t="str">
            <v>Dağıtım-AG</v>
          </cell>
          <cell r="I2440" t="str">
            <v>Uzun</v>
          </cell>
          <cell r="J2440" t="str">
            <v>Şebeke işletmecisi</v>
          </cell>
          <cell r="K2440" t="str">
            <v>Bildirimsiz</v>
          </cell>
          <cell r="O2440">
            <v>0</v>
          </cell>
          <cell r="P2440">
            <v>0</v>
          </cell>
          <cell r="Q2440">
            <v>0</v>
          </cell>
          <cell r="R2440">
            <v>3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65.999999995110556</v>
          </cell>
          <cell r="Y2440">
            <v>0</v>
          </cell>
          <cell r="Z2440">
            <v>0</v>
          </cell>
        </row>
        <row r="2441">
          <cell r="C2441" t="str">
            <v>TEKİRDAĞ</v>
          </cell>
          <cell r="D2441" t="str">
            <v>MARMARAEREĞLİSİ</v>
          </cell>
          <cell r="H2441" t="str">
            <v>Dağıtım-AG</v>
          </cell>
          <cell r="I2441" t="str">
            <v>Uzun</v>
          </cell>
          <cell r="J2441" t="str">
            <v>Şebeke işletmecisi</v>
          </cell>
          <cell r="K2441" t="str">
            <v>Bildirimsiz</v>
          </cell>
          <cell r="O2441">
            <v>0</v>
          </cell>
          <cell r="P2441">
            <v>0</v>
          </cell>
          <cell r="Q2441">
            <v>0</v>
          </cell>
          <cell r="R2441">
            <v>53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1165.1166669290978</v>
          </cell>
          <cell r="Y2441">
            <v>0</v>
          </cell>
          <cell r="Z2441">
            <v>0</v>
          </cell>
        </row>
        <row r="2442">
          <cell r="C2442" t="str">
            <v>EDİRNE</v>
          </cell>
          <cell r="D2442" t="str">
            <v>UZUNKÖPRÜ</v>
          </cell>
          <cell r="H2442" t="str">
            <v>Dağıtım-OG</v>
          </cell>
          <cell r="I2442" t="str">
            <v>Uzun</v>
          </cell>
          <cell r="J2442" t="str">
            <v>Şebeke İşletmecisi</v>
          </cell>
          <cell r="K2442" t="str">
            <v>Bildirimsiz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27</v>
          </cell>
          <cell r="T2442">
            <v>303</v>
          </cell>
          <cell r="U2442">
            <v>0</v>
          </cell>
          <cell r="V2442">
            <v>0</v>
          </cell>
          <cell r="W2442">
            <v>0</v>
          </cell>
          <cell r="X2442">
            <v>0</v>
          </cell>
          <cell r="Y2442">
            <v>593.10000002849847</v>
          </cell>
          <cell r="Z2442">
            <v>6655.9000003198162</v>
          </cell>
        </row>
        <row r="2443">
          <cell r="C2443" t="str">
            <v>TEKİRDAĞ</v>
          </cell>
          <cell r="D2443" t="str">
            <v>MARMARAEREĞLİSİ</v>
          </cell>
          <cell r="H2443" t="str">
            <v>Dağıtım-AG</v>
          </cell>
          <cell r="I2443" t="str">
            <v>Uzun</v>
          </cell>
          <cell r="J2443" t="str">
            <v>Şebeke işletmecisi</v>
          </cell>
          <cell r="K2443" t="str">
            <v>Bildirimsiz</v>
          </cell>
          <cell r="O2443">
            <v>0</v>
          </cell>
          <cell r="P2443">
            <v>0</v>
          </cell>
          <cell r="Q2443">
            <v>0</v>
          </cell>
          <cell r="R2443">
            <v>26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570.70000019855797</v>
          </cell>
          <cell r="Y2443">
            <v>0</v>
          </cell>
          <cell r="Z2443">
            <v>0</v>
          </cell>
        </row>
        <row r="2444">
          <cell r="C2444" t="str">
            <v>EDİRNE</v>
          </cell>
          <cell r="D2444" t="str">
            <v>KEŞAN</v>
          </cell>
          <cell r="H2444" t="str">
            <v>Dağıtım-AG</v>
          </cell>
          <cell r="I2444" t="str">
            <v>Uzun</v>
          </cell>
          <cell r="J2444" t="str">
            <v>Şebeke işletmecisi</v>
          </cell>
          <cell r="K2444" t="str">
            <v>Bildirimsiz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4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87.799999988637865</v>
          </cell>
        </row>
        <row r="2445">
          <cell r="C2445" t="str">
            <v>TEKİRDAĞ</v>
          </cell>
          <cell r="D2445" t="str">
            <v>SARAY</v>
          </cell>
          <cell r="H2445" t="str">
            <v>Dağıtım-AG</v>
          </cell>
          <cell r="I2445" t="str">
            <v>Uzun</v>
          </cell>
          <cell r="J2445" t="str">
            <v>Şebeke işletmecisi</v>
          </cell>
          <cell r="K2445" t="str">
            <v>Bildirimsiz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29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635.58333332883194</v>
          </cell>
        </row>
        <row r="2446">
          <cell r="C2446" t="str">
            <v>TEKİRDAĞ</v>
          </cell>
          <cell r="D2446" t="str">
            <v>MARMARAEREĞLİSİ</v>
          </cell>
          <cell r="H2446" t="str">
            <v>Dağıtım-AG</v>
          </cell>
          <cell r="I2446" t="str">
            <v>Uzun</v>
          </cell>
          <cell r="J2446" t="str">
            <v>Şebeke İşletmecisi</v>
          </cell>
          <cell r="K2446" t="str">
            <v>Bildirimsiz</v>
          </cell>
          <cell r="O2446">
            <v>0</v>
          </cell>
          <cell r="P2446">
            <v>0</v>
          </cell>
          <cell r="Q2446">
            <v>0</v>
          </cell>
          <cell r="R2446">
            <v>138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3022.1999994409271</v>
          </cell>
          <cell r="Y2446">
            <v>0</v>
          </cell>
          <cell r="Z2446">
            <v>0</v>
          </cell>
        </row>
        <row r="2447">
          <cell r="C2447" t="str">
            <v>EDİRNE</v>
          </cell>
          <cell r="D2447" t="str">
            <v>KEŞAN</v>
          </cell>
          <cell r="H2447" t="str">
            <v>Dağıtım-OG</v>
          </cell>
          <cell r="I2447" t="str">
            <v>Uzun</v>
          </cell>
          <cell r="J2447" t="str">
            <v>Şebeke İşletmecisi</v>
          </cell>
          <cell r="K2447" t="str">
            <v>Bildirimsiz</v>
          </cell>
          <cell r="O2447">
            <v>0</v>
          </cell>
          <cell r="P2447">
            <v>0</v>
          </cell>
          <cell r="Q2447">
            <v>0</v>
          </cell>
          <cell r="R2447">
            <v>38</v>
          </cell>
          <cell r="S2447">
            <v>0</v>
          </cell>
          <cell r="T2447">
            <v>1</v>
          </cell>
          <cell r="U2447">
            <v>0</v>
          </cell>
          <cell r="V2447">
            <v>0</v>
          </cell>
          <cell r="W2447">
            <v>0</v>
          </cell>
          <cell r="X2447">
            <v>832.19999984605238</v>
          </cell>
          <cell r="Y2447">
            <v>0</v>
          </cell>
          <cell r="Z2447">
            <v>21.899999995948747</v>
          </cell>
        </row>
        <row r="2448">
          <cell r="C2448" t="str">
            <v>TEKİRDAĞ</v>
          </cell>
          <cell r="D2448" t="str">
            <v>SÜLEYMANPAŞA</v>
          </cell>
          <cell r="H2448" t="str">
            <v>Dağıtım-AG</v>
          </cell>
          <cell r="I2448" t="str">
            <v>Uzun</v>
          </cell>
          <cell r="J2448" t="str">
            <v>Şebeke işletmecisi</v>
          </cell>
          <cell r="K2448" t="str">
            <v>Bildirimsiz</v>
          </cell>
          <cell r="O2448">
            <v>0</v>
          </cell>
          <cell r="P2448">
            <v>4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87.533333343453705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</row>
        <row r="2449">
          <cell r="C2449" t="str">
            <v>TEKİRDAĞ</v>
          </cell>
          <cell r="D2449" t="str">
            <v>ERGENE</v>
          </cell>
          <cell r="H2449" t="str">
            <v>Dağıtım-OG</v>
          </cell>
          <cell r="I2449" t="str">
            <v>Uzun</v>
          </cell>
          <cell r="J2449" t="str">
            <v>Şebeke işletmecisi</v>
          </cell>
          <cell r="K2449" t="str">
            <v>Bildirimsiz</v>
          </cell>
          <cell r="O2449">
            <v>0</v>
          </cell>
          <cell r="P2449">
            <v>94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2055.4666665382683</v>
          </cell>
          <cell r="W2449">
            <v>0</v>
          </cell>
          <cell r="X2449">
            <v>0</v>
          </cell>
          <cell r="Y2449">
            <v>0</v>
          </cell>
          <cell r="Z2449">
            <v>0</v>
          </cell>
        </row>
        <row r="2450">
          <cell r="C2450" t="str">
            <v>EDİRNE</v>
          </cell>
          <cell r="D2450" t="str">
            <v>EDİRNEMERKEZ</v>
          </cell>
          <cell r="H2450" t="str">
            <v>Dağıtım-OG</v>
          </cell>
          <cell r="I2450" t="str">
            <v>Uzun</v>
          </cell>
          <cell r="J2450" t="str">
            <v>Şebeke işletmecisi</v>
          </cell>
          <cell r="K2450" t="str">
            <v>Bildirimsiz</v>
          </cell>
          <cell r="O2450">
            <v>6</v>
          </cell>
          <cell r="P2450">
            <v>3064</v>
          </cell>
          <cell r="Q2450">
            <v>0</v>
          </cell>
          <cell r="R2450">
            <v>0</v>
          </cell>
          <cell r="S2450">
            <v>2</v>
          </cell>
          <cell r="T2450">
            <v>1</v>
          </cell>
          <cell r="U2450">
            <v>131.00000000791624</v>
          </cell>
          <cell r="V2450">
            <v>66897.333337375894</v>
          </cell>
          <cell r="W2450">
            <v>0</v>
          </cell>
          <cell r="X2450">
            <v>0</v>
          </cell>
          <cell r="Y2450">
            <v>43.666666669305414</v>
          </cell>
          <cell r="Z2450">
            <v>21.833333334652707</v>
          </cell>
        </row>
        <row r="2451">
          <cell r="C2451" t="str">
            <v>TEKİRDAĞ</v>
          </cell>
          <cell r="D2451" t="str">
            <v>SÜLEYMANPAŞA</v>
          </cell>
          <cell r="H2451" t="str">
            <v>Dağıtım-AG</v>
          </cell>
          <cell r="I2451" t="str">
            <v>Uzun</v>
          </cell>
          <cell r="J2451" t="str">
            <v>Şebeke işletmecisi</v>
          </cell>
          <cell r="K2451" t="str">
            <v>Bildirimsiz</v>
          </cell>
          <cell r="O2451">
            <v>0</v>
          </cell>
          <cell r="P2451">
            <v>7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152.71666664863005</v>
          </cell>
          <cell r="W2451">
            <v>0</v>
          </cell>
          <cell r="X2451">
            <v>0</v>
          </cell>
          <cell r="Y2451">
            <v>0</v>
          </cell>
          <cell r="Z2451">
            <v>0</v>
          </cell>
        </row>
        <row r="2452">
          <cell r="C2452" t="str">
            <v>TEKİRDAĞ</v>
          </cell>
          <cell r="D2452" t="str">
            <v>MARMARAEREĞLİSİ</v>
          </cell>
          <cell r="H2452" t="str">
            <v>Dağıtım-AG</v>
          </cell>
          <cell r="I2452" t="str">
            <v>Uzun</v>
          </cell>
          <cell r="J2452" t="str">
            <v>Şebeke işletmecisi</v>
          </cell>
          <cell r="K2452" t="str">
            <v>Bildirimsiz</v>
          </cell>
          <cell r="O2452">
            <v>0</v>
          </cell>
          <cell r="P2452">
            <v>12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261.40000000130385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</row>
        <row r="2453">
          <cell r="C2453" t="str">
            <v>TEKİRDAĞ</v>
          </cell>
          <cell r="D2453" t="str">
            <v>ÇORLU</v>
          </cell>
          <cell r="H2453" t="str">
            <v>Dağıtım-OG</v>
          </cell>
          <cell r="I2453" t="str">
            <v>Uzun</v>
          </cell>
          <cell r="J2453" t="str">
            <v>Şebeke işletmecisi</v>
          </cell>
          <cell r="K2453" t="str">
            <v>Bildirimsiz</v>
          </cell>
          <cell r="O2453">
            <v>2</v>
          </cell>
          <cell r="P2453">
            <v>857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43.466666664462537</v>
          </cell>
          <cell r="V2453">
            <v>18625.466665722197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</row>
        <row r="2454">
          <cell r="C2454" t="str">
            <v>KIRKLARELİ</v>
          </cell>
          <cell r="D2454" t="str">
            <v>KIRKLARELİMERKEZ</v>
          </cell>
          <cell r="H2454" t="str">
            <v>Dağıtım-AG</v>
          </cell>
          <cell r="I2454" t="str">
            <v>Uzun</v>
          </cell>
          <cell r="J2454" t="str">
            <v>Şebeke işletmecisi</v>
          </cell>
          <cell r="K2454" t="str">
            <v>Bildirimsiz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48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1042.3999997600913</v>
          </cell>
        </row>
        <row r="2455">
          <cell r="C2455" t="str">
            <v>KIRKLARELİ</v>
          </cell>
          <cell r="D2455" t="str">
            <v>KIRKLARELİMERKEZ</v>
          </cell>
          <cell r="H2455" t="str">
            <v>Dağıtım-AG</v>
          </cell>
          <cell r="I2455" t="str">
            <v>Uzun</v>
          </cell>
          <cell r="J2455" t="str">
            <v>Şebeke işletmecisi</v>
          </cell>
          <cell r="K2455" t="str">
            <v>Bildirimsiz</v>
          </cell>
          <cell r="O2455">
            <v>0</v>
          </cell>
          <cell r="P2455">
            <v>0</v>
          </cell>
          <cell r="Q2455">
            <v>0</v>
          </cell>
          <cell r="R2455">
            <v>6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130.29999997001141</v>
          </cell>
          <cell r="Y2455">
            <v>0</v>
          </cell>
          <cell r="Z2455">
            <v>0</v>
          </cell>
        </row>
        <row r="2456">
          <cell r="C2456" t="str">
            <v>KIRKLARELİ</v>
          </cell>
          <cell r="D2456" t="str">
            <v>KIRKLARELİMERKEZ</v>
          </cell>
          <cell r="H2456" t="str">
            <v>Dağıtım-AG</v>
          </cell>
          <cell r="I2456" t="str">
            <v>Uzun</v>
          </cell>
          <cell r="J2456" t="str">
            <v>Şebeke işletmecisi</v>
          </cell>
          <cell r="K2456" t="str">
            <v>Bildirimsiz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1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21.666666670935228</v>
          </cell>
        </row>
        <row r="2457">
          <cell r="C2457" t="str">
            <v>EDİRNE</v>
          </cell>
          <cell r="D2457" t="str">
            <v>KEŞAN</v>
          </cell>
          <cell r="H2457" t="str">
            <v>Dağıtım-AG</v>
          </cell>
          <cell r="I2457" t="str">
            <v>Uzun</v>
          </cell>
          <cell r="J2457" t="str">
            <v>Şebeke işletmecisi</v>
          </cell>
          <cell r="K2457" t="str">
            <v>Bildirimsiz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12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259.99999992549419</v>
          </cell>
        </row>
        <row r="2458">
          <cell r="C2458" t="str">
            <v>EDİRNE</v>
          </cell>
          <cell r="D2458" t="str">
            <v>EDİRNEMERKEZ</v>
          </cell>
          <cell r="H2458" t="str">
            <v>Dağıtım-AG</v>
          </cell>
          <cell r="I2458" t="str">
            <v>Uzun</v>
          </cell>
          <cell r="J2458" t="str">
            <v>Şebeke işletmecisi</v>
          </cell>
          <cell r="K2458" t="str">
            <v>Bildirimsiz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26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562.90000000968575</v>
          </cell>
        </row>
        <row r="2459">
          <cell r="C2459" t="str">
            <v>TEKİRDAĞ</v>
          </cell>
          <cell r="D2459" t="str">
            <v>ÇORLU</v>
          </cell>
          <cell r="H2459" t="str">
            <v>Dağıtım-AG</v>
          </cell>
          <cell r="I2459" t="str">
            <v>Uzun</v>
          </cell>
          <cell r="J2459" t="str">
            <v>Şebeke işletmecisi</v>
          </cell>
          <cell r="K2459" t="str">
            <v>Bildirimsiz</v>
          </cell>
          <cell r="O2459">
            <v>0</v>
          </cell>
          <cell r="P2459">
            <v>3</v>
          </cell>
          <cell r="Q2459">
            <v>0</v>
          </cell>
          <cell r="R2459">
            <v>0</v>
          </cell>
          <cell r="S2459">
            <v>0</v>
          </cell>
          <cell r="T2459">
            <v>17</v>
          </cell>
          <cell r="U2459">
            <v>0</v>
          </cell>
          <cell r="V2459">
            <v>64.950000001117587</v>
          </cell>
          <cell r="W2459">
            <v>0</v>
          </cell>
          <cell r="X2459">
            <v>0</v>
          </cell>
          <cell r="Y2459">
            <v>0</v>
          </cell>
          <cell r="Z2459">
            <v>368.05000000633299</v>
          </cell>
        </row>
        <row r="2460">
          <cell r="C2460" t="str">
            <v>KIRKLARELİ</v>
          </cell>
          <cell r="D2460" t="str">
            <v>KOFÇAZ</v>
          </cell>
          <cell r="H2460" t="str">
            <v>Dağıtım-AG</v>
          </cell>
          <cell r="I2460" t="str">
            <v>Uzun</v>
          </cell>
          <cell r="J2460" t="str">
            <v>Şebeke işletmecisi</v>
          </cell>
          <cell r="K2460" t="str">
            <v>Bildirimsiz</v>
          </cell>
          <cell r="O2460">
            <v>0</v>
          </cell>
          <cell r="P2460">
            <v>0</v>
          </cell>
          <cell r="Q2460">
            <v>0</v>
          </cell>
          <cell r="R2460">
            <v>17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367.76666678488255</v>
          </cell>
          <cell r="Y2460">
            <v>0</v>
          </cell>
          <cell r="Z2460">
            <v>0</v>
          </cell>
        </row>
        <row r="2461">
          <cell r="C2461" t="str">
            <v>EDİRNE</v>
          </cell>
          <cell r="D2461" t="str">
            <v>İPSALA</v>
          </cell>
          <cell r="H2461" t="str">
            <v>Dağıtım-OG</v>
          </cell>
          <cell r="I2461" t="str">
            <v>Uzun</v>
          </cell>
          <cell r="J2461" t="str">
            <v>Şebeke işletmecisi</v>
          </cell>
          <cell r="K2461" t="str">
            <v>Bildirimsiz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5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107.74999998975545</v>
          </cell>
          <cell r="Z2461">
            <v>0</v>
          </cell>
        </row>
        <row r="2462">
          <cell r="C2462" t="str">
            <v>TEKİRDAĞ</v>
          </cell>
          <cell r="D2462" t="str">
            <v>MARMARAEREĞLİSİ</v>
          </cell>
          <cell r="H2462" t="str">
            <v>Dağıtım-AG</v>
          </cell>
          <cell r="I2462" t="str">
            <v>Uzun</v>
          </cell>
          <cell r="J2462" t="str">
            <v>Şebeke işletmecisi</v>
          </cell>
          <cell r="K2462" t="str">
            <v>Bildirimsiz</v>
          </cell>
          <cell r="O2462">
            <v>0</v>
          </cell>
          <cell r="P2462">
            <v>0</v>
          </cell>
          <cell r="Q2462">
            <v>0</v>
          </cell>
          <cell r="R2462">
            <v>5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107.66666668932885</v>
          </cell>
          <cell r="Y2462">
            <v>0</v>
          </cell>
          <cell r="Z2462">
            <v>0</v>
          </cell>
        </row>
        <row r="2463">
          <cell r="C2463" t="str">
            <v>TEKİRDAĞ</v>
          </cell>
          <cell r="D2463" t="str">
            <v>MARMARAEREĞLİSİ</v>
          </cell>
          <cell r="H2463" t="str">
            <v>Dağıtım-AG</v>
          </cell>
          <cell r="I2463" t="str">
            <v>Uzun</v>
          </cell>
          <cell r="J2463" t="str">
            <v>Şebeke işletmecisi</v>
          </cell>
          <cell r="K2463" t="str">
            <v>Bildirimsiz</v>
          </cell>
          <cell r="O2463">
            <v>0</v>
          </cell>
          <cell r="P2463">
            <v>0</v>
          </cell>
          <cell r="Q2463">
            <v>0</v>
          </cell>
          <cell r="R2463">
            <v>7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150.38333335658535</v>
          </cell>
          <cell r="Y2463">
            <v>0</v>
          </cell>
          <cell r="Z2463">
            <v>0</v>
          </cell>
        </row>
        <row r="2464">
          <cell r="C2464" t="str">
            <v>TEKİRDAĞ</v>
          </cell>
          <cell r="D2464" t="str">
            <v>MARMARAEREĞLİSİ</v>
          </cell>
          <cell r="H2464" t="str">
            <v>Dağıtım-AG</v>
          </cell>
          <cell r="I2464" t="str">
            <v>Uzun</v>
          </cell>
          <cell r="J2464" t="str">
            <v>Şebeke işletmecisi</v>
          </cell>
          <cell r="K2464" t="str">
            <v>Bildirimsiz</v>
          </cell>
          <cell r="O2464">
            <v>0</v>
          </cell>
          <cell r="P2464">
            <v>0</v>
          </cell>
          <cell r="Q2464">
            <v>0</v>
          </cell>
          <cell r="R2464">
            <v>1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21.483333326177672</v>
          </cell>
          <cell r="Y2464">
            <v>0</v>
          </cell>
          <cell r="Z2464">
            <v>0</v>
          </cell>
        </row>
        <row r="2465">
          <cell r="C2465" t="str">
            <v>EDİRNE</v>
          </cell>
          <cell r="D2465" t="str">
            <v>UZUNKÖPRÜ</v>
          </cell>
          <cell r="H2465" t="str">
            <v>Dağıtım-AG</v>
          </cell>
          <cell r="I2465" t="str">
            <v>Uzun</v>
          </cell>
          <cell r="J2465" t="str">
            <v>Şebeke işletmecisi</v>
          </cell>
          <cell r="K2465" t="str">
            <v>Bildirimsiz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18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384.90000001620501</v>
          </cell>
        </row>
        <row r="2466">
          <cell r="C2466" t="str">
            <v>EDİRNE</v>
          </cell>
          <cell r="D2466" t="str">
            <v>HAVSA</v>
          </cell>
          <cell r="H2466" t="str">
            <v>Dağıtım-OG</v>
          </cell>
          <cell r="I2466" t="str">
            <v>Uzun</v>
          </cell>
          <cell r="J2466" t="str">
            <v>Şebeke işletmecisi</v>
          </cell>
          <cell r="K2466" t="str">
            <v>Bildirimsiz</v>
          </cell>
          <cell r="O2466">
            <v>0</v>
          </cell>
          <cell r="P2466">
            <v>0</v>
          </cell>
          <cell r="Q2466">
            <v>1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21.316666672937572</v>
          </cell>
          <cell r="X2466">
            <v>0</v>
          </cell>
          <cell r="Y2466">
            <v>0</v>
          </cell>
          <cell r="Z2466">
            <v>0</v>
          </cell>
        </row>
        <row r="2467">
          <cell r="C2467" t="str">
            <v>TEKİRDAĞ</v>
          </cell>
          <cell r="D2467" t="str">
            <v>MARMARAEREĞLİSİ</v>
          </cell>
          <cell r="H2467" t="str">
            <v>Dağıtım-AG</v>
          </cell>
          <cell r="I2467" t="str">
            <v>Uzun</v>
          </cell>
          <cell r="J2467" t="str">
            <v>Şebeke İşletmecisi</v>
          </cell>
          <cell r="K2467" t="str">
            <v>Bildirimsiz</v>
          </cell>
          <cell r="O2467">
            <v>0</v>
          </cell>
          <cell r="P2467">
            <v>0</v>
          </cell>
          <cell r="Q2467">
            <v>0</v>
          </cell>
          <cell r="R2467">
            <v>4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85.266666649840772</v>
          </cell>
          <cell r="Y2467">
            <v>0</v>
          </cell>
          <cell r="Z2467">
            <v>0</v>
          </cell>
        </row>
        <row r="2468">
          <cell r="C2468" t="str">
            <v>KIRKLARELİ</v>
          </cell>
          <cell r="D2468" t="str">
            <v>PINARHİSAR</v>
          </cell>
          <cell r="H2468" t="str">
            <v>Dağıtım-OG</v>
          </cell>
          <cell r="I2468" t="str">
            <v>Uzun</v>
          </cell>
          <cell r="J2468" t="str">
            <v>Şebeke işletmecisi</v>
          </cell>
          <cell r="K2468" t="str">
            <v>Bildirimsiz</v>
          </cell>
          <cell r="O2468">
            <v>0</v>
          </cell>
          <cell r="P2468">
            <v>0</v>
          </cell>
          <cell r="Q2468">
            <v>6</v>
          </cell>
          <cell r="R2468">
            <v>0</v>
          </cell>
          <cell r="S2468">
            <v>15</v>
          </cell>
          <cell r="T2468">
            <v>1888</v>
          </cell>
          <cell r="U2468">
            <v>0</v>
          </cell>
          <cell r="V2468">
            <v>0</v>
          </cell>
          <cell r="W2468">
            <v>127.60000003036112</v>
          </cell>
          <cell r="X2468">
            <v>0</v>
          </cell>
          <cell r="Y2468">
            <v>319.00000007590279</v>
          </cell>
          <cell r="Z2468">
            <v>40151.466676220298</v>
          </cell>
        </row>
        <row r="2469">
          <cell r="C2469" t="str">
            <v>TEKİRDAĞ</v>
          </cell>
          <cell r="D2469" t="str">
            <v>ERGENE</v>
          </cell>
          <cell r="H2469" t="str">
            <v>Dağıtım-OG</v>
          </cell>
          <cell r="I2469" t="str">
            <v>Uzun</v>
          </cell>
          <cell r="J2469" t="str">
            <v>Şebeke işletmecisi</v>
          </cell>
          <cell r="K2469" t="str">
            <v>Bildirimsiz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1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21.266666671726853</v>
          </cell>
        </row>
        <row r="2470">
          <cell r="C2470" t="str">
            <v>KIRKLARELİ</v>
          </cell>
          <cell r="D2470" t="str">
            <v>LÜLEBURGAZ</v>
          </cell>
          <cell r="H2470" t="str">
            <v>Dağıtım-AG</v>
          </cell>
          <cell r="I2470" t="str">
            <v>Uzun</v>
          </cell>
          <cell r="J2470" t="str">
            <v>Şebeke işletmecisi</v>
          </cell>
          <cell r="K2470" t="str">
            <v>Bildirimsiz</v>
          </cell>
          <cell r="O2470">
            <v>0</v>
          </cell>
          <cell r="P2470">
            <v>65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1380.1666664890945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</row>
        <row r="2471">
          <cell r="C2471" t="str">
            <v>EDİRNE</v>
          </cell>
          <cell r="D2471" t="str">
            <v>EDİRNEMERKEZ</v>
          </cell>
          <cell r="H2471" t="str">
            <v>Dağıtım-AG</v>
          </cell>
          <cell r="I2471" t="str">
            <v>Uzun</v>
          </cell>
          <cell r="J2471" t="str">
            <v>Şebeke işletmecisi</v>
          </cell>
          <cell r="K2471" t="str">
            <v>Bildirimsiz</v>
          </cell>
          <cell r="O2471">
            <v>0</v>
          </cell>
          <cell r="P2471">
            <v>37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783.7833335751202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</row>
        <row r="2472">
          <cell r="C2472" t="str">
            <v>EDİRNE</v>
          </cell>
          <cell r="D2472" t="str">
            <v>KEŞAN</v>
          </cell>
          <cell r="H2472" t="str">
            <v>Dağıtım-AG</v>
          </cell>
          <cell r="I2472" t="str">
            <v>Uzun</v>
          </cell>
          <cell r="J2472" t="str">
            <v>Şebeke işletmecisi</v>
          </cell>
          <cell r="K2472" t="str">
            <v>Bildirimsiz</v>
          </cell>
          <cell r="O2472">
            <v>0</v>
          </cell>
          <cell r="P2472">
            <v>31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656.68333321111277</v>
          </cell>
          <cell r="W2472">
            <v>0</v>
          </cell>
          <cell r="X2472">
            <v>0</v>
          </cell>
          <cell r="Y2472">
            <v>0</v>
          </cell>
          <cell r="Z2472">
            <v>0</v>
          </cell>
        </row>
        <row r="2473">
          <cell r="C2473" t="str">
            <v>TEKİRDAĞ</v>
          </cell>
          <cell r="D2473" t="str">
            <v>HAYRABOLU</v>
          </cell>
          <cell r="H2473" t="str">
            <v>Dağıtım-OG</v>
          </cell>
          <cell r="I2473" t="str">
            <v>Uzun</v>
          </cell>
          <cell r="J2473" t="str">
            <v>Şebeke işletmecisi</v>
          </cell>
          <cell r="K2473" t="str">
            <v>Bildirimsiz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2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42.366666658781469</v>
          </cell>
          <cell r="Z2473">
            <v>0</v>
          </cell>
        </row>
        <row r="2474">
          <cell r="C2474" t="str">
            <v>EDİRNE</v>
          </cell>
          <cell r="D2474" t="str">
            <v>KEŞAN</v>
          </cell>
          <cell r="H2474" t="str">
            <v>Dağıtım-AG</v>
          </cell>
          <cell r="I2474" t="str">
            <v>Uzun</v>
          </cell>
          <cell r="J2474" t="str">
            <v>Şebeke işletmecisi</v>
          </cell>
          <cell r="K2474" t="str">
            <v>Bildirimsiz</v>
          </cell>
          <cell r="O2474">
            <v>0</v>
          </cell>
          <cell r="P2474">
            <v>76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1608.6666668672115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</row>
        <row r="2475">
          <cell r="C2475" t="str">
            <v>KIRKLARELİ</v>
          </cell>
          <cell r="D2475" t="str">
            <v>LÜLEBURGAZ</v>
          </cell>
          <cell r="H2475" t="str">
            <v>Dağıtım-OG</v>
          </cell>
          <cell r="I2475" t="str">
            <v>Uzun</v>
          </cell>
          <cell r="J2475" t="str">
            <v>Şebeke işletmecisi</v>
          </cell>
          <cell r="K2475" t="str">
            <v>Bildirimsiz</v>
          </cell>
          <cell r="O2475">
            <v>0</v>
          </cell>
          <cell r="P2475">
            <v>47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994.83333296491764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</row>
        <row r="2476">
          <cell r="C2476" t="str">
            <v>KIRKLARELİ</v>
          </cell>
          <cell r="D2476" t="str">
            <v>VİZE</v>
          </cell>
          <cell r="H2476" t="str">
            <v>Dağıtım-AG</v>
          </cell>
          <cell r="I2476" t="str">
            <v>Uzun</v>
          </cell>
          <cell r="J2476" t="str">
            <v>Şebeke işletmecisi</v>
          </cell>
          <cell r="K2476" t="str">
            <v>Bildirimsiz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126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2654.4000000273809</v>
          </cell>
        </row>
        <row r="2477">
          <cell r="C2477" t="str">
            <v>KIRKLARELİ</v>
          </cell>
          <cell r="D2477" t="str">
            <v>KIRKLARELİMERKEZ</v>
          </cell>
          <cell r="H2477" t="str">
            <v>Dağıtım-AG</v>
          </cell>
          <cell r="I2477" t="str">
            <v>Uzun</v>
          </cell>
          <cell r="J2477" t="str">
            <v>Şebeke işletmecisi</v>
          </cell>
          <cell r="K2477" t="str">
            <v>Bildirimsiz</v>
          </cell>
          <cell r="O2477">
            <v>0</v>
          </cell>
          <cell r="P2477">
            <v>42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884.1000002855435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</row>
        <row r="2478">
          <cell r="C2478" t="str">
            <v>TEKİRDAĞ</v>
          </cell>
          <cell r="D2478" t="str">
            <v>MURATLI</v>
          </cell>
          <cell r="H2478" t="str">
            <v>Dağıtım-AG</v>
          </cell>
          <cell r="I2478" t="str">
            <v>Uzun</v>
          </cell>
          <cell r="J2478" t="str">
            <v>Şebeke işletmecisi</v>
          </cell>
          <cell r="K2478" t="str">
            <v>Bildirimsiz</v>
          </cell>
          <cell r="O2478">
            <v>0</v>
          </cell>
          <cell r="P2478">
            <v>12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252.00000006705523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</row>
        <row r="2479">
          <cell r="C2479" t="str">
            <v>KIRKLARELİ</v>
          </cell>
          <cell r="D2479" t="str">
            <v>BABAESKİ</v>
          </cell>
          <cell r="H2479" t="str">
            <v>Dağıtım-AG</v>
          </cell>
          <cell r="I2479" t="str">
            <v>Uzun</v>
          </cell>
          <cell r="J2479" t="str">
            <v>Şebeke işletmecisi</v>
          </cell>
          <cell r="K2479" t="str">
            <v>Bildirimsiz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77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1616.9999996235128</v>
          </cell>
        </row>
        <row r="2480">
          <cell r="C2480" t="str">
            <v>KIRKLARELİ</v>
          </cell>
          <cell r="D2480" t="str">
            <v>DEMİRKÖY</v>
          </cell>
          <cell r="H2480" t="str">
            <v>Dağıtım-OG</v>
          </cell>
          <cell r="I2480" t="str">
            <v>Uzun</v>
          </cell>
          <cell r="J2480" t="str">
            <v>Şebeke İşletmecisi</v>
          </cell>
          <cell r="K2480" t="str">
            <v>Bildirimsiz</v>
          </cell>
          <cell r="O2480">
            <v>0</v>
          </cell>
          <cell r="P2480">
            <v>0</v>
          </cell>
          <cell r="Q2480">
            <v>0</v>
          </cell>
          <cell r="R2480">
            <v>281</v>
          </cell>
          <cell r="S2480">
            <v>4</v>
          </cell>
          <cell r="T2480">
            <v>287</v>
          </cell>
          <cell r="U2480">
            <v>0</v>
          </cell>
          <cell r="V2480">
            <v>0</v>
          </cell>
          <cell r="W2480">
            <v>0</v>
          </cell>
          <cell r="X2480">
            <v>5900.9999986260664</v>
          </cell>
          <cell r="Y2480">
            <v>83.999999980442226</v>
          </cell>
          <cell r="Z2480">
            <v>6026.9999985967297</v>
          </cell>
        </row>
        <row r="2481">
          <cell r="C2481" t="str">
            <v>EDİRNE</v>
          </cell>
          <cell r="D2481" t="str">
            <v>ENEZ</v>
          </cell>
          <cell r="H2481" t="str">
            <v>Dağıtım-OG</v>
          </cell>
          <cell r="I2481" t="str">
            <v>Uzun</v>
          </cell>
          <cell r="J2481" t="str">
            <v>Şebeke İşletmecisi</v>
          </cell>
          <cell r="K2481" t="str">
            <v>Bildirimsiz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1</v>
          </cell>
          <cell r="T2481">
            <v>176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20.983333335025236</v>
          </cell>
          <cell r="Z2481">
            <v>3693.0666669644415</v>
          </cell>
        </row>
        <row r="2482">
          <cell r="C2482" t="str">
            <v>EDİRNE</v>
          </cell>
          <cell r="D2482" t="str">
            <v>KEŞAN</v>
          </cell>
          <cell r="H2482" t="str">
            <v>Dağıtım-OG</v>
          </cell>
          <cell r="I2482" t="str">
            <v>Uzun</v>
          </cell>
          <cell r="J2482" t="str">
            <v>Şebeke İşletmecisi</v>
          </cell>
          <cell r="K2482" t="str">
            <v>Bildirimsiz</v>
          </cell>
          <cell r="O2482">
            <v>0</v>
          </cell>
          <cell r="P2482">
            <v>0</v>
          </cell>
          <cell r="Q2482">
            <v>3</v>
          </cell>
          <cell r="R2482">
            <v>0</v>
          </cell>
          <cell r="S2482">
            <v>2</v>
          </cell>
          <cell r="T2482">
            <v>0</v>
          </cell>
          <cell r="U2482">
            <v>0</v>
          </cell>
          <cell r="V2482">
            <v>0</v>
          </cell>
          <cell r="W2482">
            <v>62.950000005075708</v>
          </cell>
          <cell r="X2482">
            <v>0</v>
          </cell>
          <cell r="Y2482">
            <v>41.966666670050472</v>
          </cell>
          <cell r="Z2482">
            <v>0</v>
          </cell>
        </row>
        <row r="2483">
          <cell r="C2483" t="str">
            <v>TEKİRDAĞ</v>
          </cell>
          <cell r="D2483" t="str">
            <v>SARAY</v>
          </cell>
          <cell r="H2483" t="str">
            <v>Dağıtım-AG</v>
          </cell>
          <cell r="I2483" t="str">
            <v>Uzun</v>
          </cell>
          <cell r="J2483" t="str">
            <v>Şebeke işletmecisi</v>
          </cell>
          <cell r="K2483" t="str">
            <v>Bildirimsiz</v>
          </cell>
          <cell r="O2483">
            <v>0</v>
          </cell>
          <cell r="P2483">
            <v>0</v>
          </cell>
          <cell r="Q2483">
            <v>0</v>
          </cell>
          <cell r="R2483">
            <v>6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125.80000004963949</v>
          </cell>
          <cell r="Y2483">
            <v>0</v>
          </cell>
          <cell r="Z2483">
            <v>0</v>
          </cell>
        </row>
        <row r="2484">
          <cell r="C2484" t="str">
            <v>EDİRNE</v>
          </cell>
          <cell r="D2484" t="str">
            <v>UZUNKÖPRÜ</v>
          </cell>
          <cell r="H2484" t="str">
            <v>Dağıtım-OG</v>
          </cell>
          <cell r="I2484" t="str">
            <v>Uzun</v>
          </cell>
          <cell r="J2484" t="str">
            <v>Şebeke işletmecisi</v>
          </cell>
          <cell r="K2484" t="str">
            <v>Bildirimsiz</v>
          </cell>
          <cell r="O2484">
            <v>2</v>
          </cell>
          <cell r="P2484">
            <v>0</v>
          </cell>
          <cell r="Q2484">
            <v>0</v>
          </cell>
          <cell r="R2484">
            <v>0</v>
          </cell>
          <cell r="S2484">
            <v>2</v>
          </cell>
          <cell r="T2484">
            <v>0</v>
          </cell>
          <cell r="U2484">
            <v>41.700000003911555</v>
          </cell>
          <cell r="V2484">
            <v>0</v>
          </cell>
          <cell r="W2484">
            <v>0</v>
          </cell>
          <cell r="X2484">
            <v>0</v>
          </cell>
          <cell r="Y2484">
            <v>41.700000003911555</v>
          </cell>
          <cell r="Z2484">
            <v>0</v>
          </cell>
        </row>
        <row r="2485">
          <cell r="C2485" t="str">
            <v>KIRKLARELİ</v>
          </cell>
          <cell r="D2485" t="str">
            <v>KIRKLARELİMERKEZ</v>
          </cell>
          <cell r="H2485" t="str">
            <v>Dağıtım-AG</v>
          </cell>
          <cell r="I2485" t="str">
            <v>Uzun</v>
          </cell>
          <cell r="J2485" t="str">
            <v>Şebeke işletmecisi</v>
          </cell>
          <cell r="K2485" t="str">
            <v>Bildirimsiz</v>
          </cell>
          <cell r="O2485">
            <v>0</v>
          </cell>
          <cell r="P2485">
            <v>12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249.80000005569309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</row>
        <row r="2486">
          <cell r="C2486" t="str">
            <v>TEKİRDAĞ</v>
          </cell>
          <cell r="D2486" t="str">
            <v>SÜLEYMANPAŞA</v>
          </cell>
          <cell r="H2486" t="str">
            <v>Dağıtım-OG</v>
          </cell>
          <cell r="I2486" t="str">
            <v>Uzun</v>
          </cell>
          <cell r="J2486" t="str">
            <v>Şebeke işletmecisi</v>
          </cell>
          <cell r="K2486" t="str">
            <v>Bildirimsiz</v>
          </cell>
          <cell r="O2486">
            <v>0</v>
          </cell>
          <cell r="P2486">
            <v>768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15987.200003564358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</row>
        <row r="2487">
          <cell r="C2487" t="str">
            <v>TEKİRDAĞ</v>
          </cell>
          <cell r="D2487" t="str">
            <v>KAPAKLI</v>
          </cell>
          <cell r="H2487" t="str">
            <v>Dağıtım-OG</v>
          </cell>
          <cell r="I2487" t="str">
            <v>Uzun</v>
          </cell>
          <cell r="J2487" t="str">
            <v>Şebeke işletmecisi</v>
          </cell>
          <cell r="K2487" t="str">
            <v>Bildirimli</v>
          </cell>
          <cell r="O2487">
            <v>3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62.349999990547076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</row>
        <row r="2488">
          <cell r="C2488" t="str">
            <v>KIRKLARELİ</v>
          </cell>
          <cell r="D2488" t="str">
            <v>BABAESKİ</v>
          </cell>
          <cell r="H2488" t="str">
            <v>Dağıtım-AG</v>
          </cell>
          <cell r="I2488" t="str">
            <v>Uzun</v>
          </cell>
          <cell r="J2488" t="str">
            <v>Şebeke işletmecisi</v>
          </cell>
          <cell r="K2488" t="str">
            <v>Bildirimsiz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8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165.73333335109055</v>
          </cell>
        </row>
        <row r="2489">
          <cell r="C2489" t="str">
            <v>TEKİRDAĞ</v>
          </cell>
          <cell r="D2489" t="str">
            <v>MARMARAEREĞLİSİ</v>
          </cell>
          <cell r="H2489" t="str">
            <v>Dağıtım-AG</v>
          </cell>
          <cell r="I2489" t="str">
            <v>Uzun</v>
          </cell>
          <cell r="J2489" t="str">
            <v>Şebeke işletmecisi</v>
          </cell>
          <cell r="K2489" t="str">
            <v>Bildirimsiz</v>
          </cell>
          <cell r="O2489">
            <v>0</v>
          </cell>
          <cell r="P2489">
            <v>13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268.88333326089196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</row>
        <row r="2490">
          <cell r="C2490" t="str">
            <v>EDİRNE</v>
          </cell>
          <cell r="D2490" t="str">
            <v>KEŞAN</v>
          </cell>
          <cell r="H2490" t="str">
            <v>Dağıtım-AG</v>
          </cell>
          <cell r="I2490" t="str">
            <v>Uzun</v>
          </cell>
          <cell r="J2490" t="str">
            <v>Şebeke işletmecisi</v>
          </cell>
          <cell r="K2490" t="str">
            <v>Bildirimsiz</v>
          </cell>
          <cell r="O2490">
            <v>0</v>
          </cell>
          <cell r="P2490">
            <v>12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247.7999999653548</v>
          </cell>
          <cell r="W2490">
            <v>0</v>
          </cell>
          <cell r="X2490">
            <v>0</v>
          </cell>
          <cell r="Y2490">
            <v>0</v>
          </cell>
          <cell r="Z2490">
            <v>0</v>
          </cell>
        </row>
        <row r="2491">
          <cell r="C2491" t="str">
            <v>TEKİRDAĞ</v>
          </cell>
          <cell r="D2491" t="str">
            <v>MARMARAEREĞLİSİ</v>
          </cell>
          <cell r="H2491" t="str">
            <v>Dağıtım-AG</v>
          </cell>
          <cell r="I2491" t="str">
            <v>Uzun</v>
          </cell>
          <cell r="J2491" t="str">
            <v>Şebeke işletmecisi</v>
          </cell>
          <cell r="K2491" t="str">
            <v>Bildirimsiz</v>
          </cell>
          <cell r="O2491">
            <v>0</v>
          </cell>
          <cell r="P2491">
            <v>57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1174.1999997664243</v>
          </cell>
          <cell r="W2491">
            <v>0</v>
          </cell>
          <cell r="X2491">
            <v>0</v>
          </cell>
          <cell r="Y2491">
            <v>0</v>
          </cell>
          <cell r="Z2491">
            <v>0</v>
          </cell>
        </row>
        <row r="2492">
          <cell r="C2492" t="str">
            <v>TEKİRDAĞ</v>
          </cell>
          <cell r="D2492" t="str">
            <v>MALKARA</v>
          </cell>
          <cell r="H2492" t="str">
            <v>Dağıtım-AG</v>
          </cell>
          <cell r="I2492" t="str">
            <v>Uzun</v>
          </cell>
          <cell r="J2492" t="str">
            <v>Şebeke işletmecisi</v>
          </cell>
          <cell r="K2492" t="str">
            <v>Bildirimsiz</v>
          </cell>
          <cell r="O2492">
            <v>0</v>
          </cell>
          <cell r="P2492">
            <v>11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226.41666657873429</v>
          </cell>
          <cell r="W2492">
            <v>0</v>
          </cell>
          <cell r="X2492">
            <v>0</v>
          </cell>
          <cell r="Y2492">
            <v>0</v>
          </cell>
          <cell r="Z2492">
            <v>0</v>
          </cell>
        </row>
        <row r="2493">
          <cell r="C2493" t="str">
            <v>KIRKLARELİ</v>
          </cell>
          <cell r="D2493" t="str">
            <v>KOFÇAZ</v>
          </cell>
          <cell r="H2493" t="str">
            <v>Dağıtım-AG</v>
          </cell>
          <cell r="I2493" t="str">
            <v>Uzun</v>
          </cell>
          <cell r="J2493" t="str">
            <v>Şebeke işletmecisi</v>
          </cell>
          <cell r="K2493" t="str">
            <v>Bildirimsiz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2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41.166666650678962</v>
          </cell>
        </row>
        <row r="2494">
          <cell r="C2494" t="str">
            <v>EDİRNE</v>
          </cell>
          <cell r="D2494" t="str">
            <v>EDİRNEMERKEZ</v>
          </cell>
          <cell r="H2494" t="str">
            <v>Dağıtım-OG</v>
          </cell>
          <cell r="I2494" t="str">
            <v>Uzun</v>
          </cell>
          <cell r="J2494" t="str">
            <v>Şebeke işletmecisi</v>
          </cell>
          <cell r="K2494" t="str">
            <v>Bildirimsiz</v>
          </cell>
          <cell r="O2494">
            <v>13</v>
          </cell>
          <cell r="P2494">
            <v>0</v>
          </cell>
          <cell r="Q2494">
            <v>0</v>
          </cell>
          <cell r="R2494">
            <v>0</v>
          </cell>
          <cell r="S2494">
            <v>4</v>
          </cell>
          <cell r="T2494">
            <v>0</v>
          </cell>
          <cell r="U2494">
            <v>267.36666664830409</v>
          </cell>
          <cell r="V2494">
            <v>0</v>
          </cell>
          <cell r="W2494">
            <v>0</v>
          </cell>
          <cell r="X2494">
            <v>0</v>
          </cell>
          <cell r="Y2494">
            <v>82.266666661016643</v>
          </cell>
          <cell r="Z2494">
            <v>0</v>
          </cell>
        </row>
        <row r="2495">
          <cell r="C2495" t="str">
            <v>TEKİRDAĞ</v>
          </cell>
          <cell r="D2495" t="str">
            <v>ŞARKÖY</v>
          </cell>
          <cell r="H2495" t="str">
            <v>Dağıtım-AG</v>
          </cell>
          <cell r="I2495" t="str">
            <v>Uzun</v>
          </cell>
          <cell r="J2495" t="str">
            <v>Şebeke işletmecisi</v>
          </cell>
          <cell r="K2495" t="str">
            <v>Bildirimsiz</v>
          </cell>
          <cell r="O2495">
            <v>0</v>
          </cell>
          <cell r="P2495">
            <v>15</v>
          </cell>
          <cell r="Q2495">
            <v>0</v>
          </cell>
          <cell r="R2495">
            <v>360</v>
          </cell>
          <cell r="S2495">
            <v>0</v>
          </cell>
          <cell r="T2495">
            <v>0</v>
          </cell>
          <cell r="U2495">
            <v>0</v>
          </cell>
          <cell r="V2495">
            <v>308.49999997881241</v>
          </cell>
          <cell r="W2495">
            <v>0</v>
          </cell>
          <cell r="X2495">
            <v>7403.9999994914979</v>
          </cell>
          <cell r="Y2495">
            <v>0</v>
          </cell>
          <cell r="Z2495">
            <v>0</v>
          </cell>
        </row>
        <row r="2496">
          <cell r="C2496" t="str">
            <v>KIRKLARELİ</v>
          </cell>
          <cell r="D2496" t="str">
            <v>LÜLEBURGAZ</v>
          </cell>
          <cell r="H2496" t="str">
            <v>Dağıtım-OG</v>
          </cell>
          <cell r="I2496" t="str">
            <v>Uzun</v>
          </cell>
          <cell r="J2496" t="str">
            <v>Şebeke İşletmecisi</v>
          </cell>
          <cell r="K2496" t="str">
            <v>Bildirimsiz</v>
          </cell>
          <cell r="O2496">
            <v>0</v>
          </cell>
          <cell r="P2496">
            <v>0</v>
          </cell>
          <cell r="Q2496">
            <v>0</v>
          </cell>
          <cell r="R2496">
            <v>458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9419.5333326864056</v>
          </cell>
          <cell r="Y2496">
            <v>0</v>
          </cell>
          <cell r="Z2496">
            <v>0</v>
          </cell>
        </row>
        <row r="2497">
          <cell r="C2497" t="str">
            <v>KIRKLARELİ</v>
          </cell>
          <cell r="D2497" t="str">
            <v>LÜLEBURGAZ</v>
          </cell>
          <cell r="H2497" t="str">
            <v>Dağıtım-OG</v>
          </cell>
          <cell r="I2497" t="str">
            <v>Uzun</v>
          </cell>
          <cell r="J2497" t="str">
            <v>Şebeke İşletmecisi</v>
          </cell>
          <cell r="K2497" t="str">
            <v>Bildirimsiz</v>
          </cell>
          <cell r="O2497">
            <v>0</v>
          </cell>
          <cell r="P2497">
            <v>0</v>
          </cell>
          <cell r="Q2497">
            <v>1</v>
          </cell>
          <cell r="R2497">
            <v>573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20.566666665254161</v>
          </cell>
          <cell r="X2497">
            <v>11784.699999190634</v>
          </cell>
          <cell r="Y2497">
            <v>0</v>
          </cell>
          <cell r="Z2497">
            <v>0</v>
          </cell>
        </row>
        <row r="2498">
          <cell r="C2498" t="str">
            <v>KIRKLARELİ</v>
          </cell>
          <cell r="D2498" t="str">
            <v>LÜLEBURGAZ</v>
          </cell>
          <cell r="H2498" t="str">
            <v>Dağıtım-AG</v>
          </cell>
          <cell r="I2498" t="str">
            <v>Uzun</v>
          </cell>
          <cell r="J2498" t="str">
            <v>Şebeke işletmecisi</v>
          </cell>
          <cell r="K2498" t="str">
            <v>Bildirimsiz</v>
          </cell>
          <cell r="O2498">
            <v>0</v>
          </cell>
          <cell r="P2498">
            <v>88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1806.9333334453404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</row>
        <row r="2499">
          <cell r="C2499" t="str">
            <v>TEKİRDAĞ</v>
          </cell>
          <cell r="D2499" t="str">
            <v>MARMARAEREĞLİSİ</v>
          </cell>
          <cell r="H2499" t="str">
            <v>Dağıtım-AG</v>
          </cell>
          <cell r="I2499" t="str">
            <v>Uzun</v>
          </cell>
          <cell r="J2499" t="str">
            <v>Şebeke işletmecisi</v>
          </cell>
          <cell r="K2499" t="str">
            <v>Bildirimsiz</v>
          </cell>
          <cell r="O2499">
            <v>0</v>
          </cell>
          <cell r="P2499">
            <v>12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246.00000004749745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</row>
        <row r="2500">
          <cell r="C2500" t="str">
            <v>KIRKLARELİ</v>
          </cell>
          <cell r="D2500" t="str">
            <v>BABAESKİ</v>
          </cell>
          <cell r="H2500" t="str">
            <v>Dağıtım-AG</v>
          </cell>
          <cell r="I2500" t="str">
            <v>Uzun</v>
          </cell>
          <cell r="J2500" t="str">
            <v>Şebeke işletmecisi</v>
          </cell>
          <cell r="K2500" t="str">
            <v>Bildirimsiz</v>
          </cell>
          <cell r="O2500">
            <v>0</v>
          </cell>
          <cell r="P2500">
            <v>0</v>
          </cell>
          <cell r="Q2500">
            <v>0</v>
          </cell>
          <cell r="R2500">
            <v>39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799.49999974574894</v>
          </cell>
          <cell r="Y2500">
            <v>0</v>
          </cell>
          <cell r="Z2500">
            <v>0</v>
          </cell>
        </row>
        <row r="2501">
          <cell r="C2501" t="str">
            <v>KIRKLARELİ</v>
          </cell>
          <cell r="D2501" t="str">
            <v>PINARHİSAR</v>
          </cell>
          <cell r="H2501" t="str">
            <v>Dağıtım-OG</v>
          </cell>
          <cell r="I2501" t="str">
            <v>Uzun</v>
          </cell>
          <cell r="J2501" t="str">
            <v>Şebeke işletmecisi</v>
          </cell>
          <cell r="K2501" t="str">
            <v>Bildirimsiz</v>
          </cell>
          <cell r="O2501">
            <v>0</v>
          </cell>
          <cell r="P2501">
            <v>0</v>
          </cell>
          <cell r="Q2501">
            <v>6</v>
          </cell>
          <cell r="R2501">
            <v>0</v>
          </cell>
          <cell r="S2501">
            <v>13</v>
          </cell>
          <cell r="T2501">
            <v>1888</v>
          </cell>
          <cell r="U2501">
            <v>0</v>
          </cell>
          <cell r="V2501">
            <v>0</v>
          </cell>
          <cell r="W2501">
            <v>122.59999999310821</v>
          </cell>
          <cell r="X2501">
            <v>0</v>
          </cell>
          <cell r="Y2501">
            <v>265.63333331840113</v>
          </cell>
          <cell r="Z2501">
            <v>38578.133331164718</v>
          </cell>
        </row>
        <row r="2502">
          <cell r="C2502" t="str">
            <v>TEKİRDAĞ</v>
          </cell>
          <cell r="D2502" t="str">
            <v>SÜLEYMANPAŞA</v>
          </cell>
          <cell r="H2502" t="str">
            <v>Dağıtım-AG</v>
          </cell>
          <cell r="I2502" t="str">
            <v>Uzun</v>
          </cell>
          <cell r="J2502" t="str">
            <v>Şebeke işletmecisi</v>
          </cell>
          <cell r="K2502" t="str">
            <v>Bildirimsiz</v>
          </cell>
          <cell r="O2502">
            <v>0</v>
          </cell>
          <cell r="P2502">
            <v>39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794.95000031660311</v>
          </cell>
          <cell r="W2502">
            <v>0</v>
          </cell>
          <cell r="X2502">
            <v>0</v>
          </cell>
          <cell r="Y2502">
            <v>0</v>
          </cell>
          <cell r="Z2502">
            <v>0</v>
          </cell>
        </row>
        <row r="2503">
          <cell r="C2503" t="str">
            <v>EDİRNE</v>
          </cell>
          <cell r="D2503" t="str">
            <v>KEŞAN</v>
          </cell>
          <cell r="H2503" t="str">
            <v>Dağıtım-AG</v>
          </cell>
          <cell r="I2503" t="str">
            <v>Uzun</v>
          </cell>
          <cell r="J2503" t="str">
            <v>Şebeke işletmecisi</v>
          </cell>
          <cell r="K2503" t="str">
            <v>Bildirimsiz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2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40.766666661947966</v>
          </cell>
        </row>
        <row r="2504">
          <cell r="C2504" t="str">
            <v>TEKİRDAĞ</v>
          </cell>
          <cell r="D2504" t="str">
            <v>MARMARAEREĞLİSİ</v>
          </cell>
          <cell r="H2504" t="str">
            <v>Dağıtım-AG</v>
          </cell>
          <cell r="I2504" t="str">
            <v>Uzun</v>
          </cell>
          <cell r="J2504" t="str">
            <v>Şebeke işletmecisi</v>
          </cell>
          <cell r="K2504" t="str">
            <v>Bildirimsiz</v>
          </cell>
          <cell r="O2504">
            <v>0</v>
          </cell>
          <cell r="P2504">
            <v>8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162.8000000026077</v>
          </cell>
          <cell r="W2504">
            <v>0</v>
          </cell>
          <cell r="X2504">
            <v>0</v>
          </cell>
          <cell r="Y2504">
            <v>0</v>
          </cell>
          <cell r="Z2504">
            <v>0</v>
          </cell>
        </row>
        <row r="2505">
          <cell r="C2505" t="str">
            <v>KIRKLARELİ</v>
          </cell>
          <cell r="D2505" t="str">
            <v>PEHLİVANKÖY</v>
          </cell>
          <cell r="H2505" t="str">
            <v>Dağıtım-OG</v>
          </cell>
          <cell r="I2505" t="str">
            <v>Uzun</v>
          </cell>
          <cell r="J2505" t="str">
            <v>Şebeke işletmecisi</v>
          </cell>
          <cell r="K2505" t="str">
            <v>Bildirimsiz</v>
          </cell>
          <cell r="O2505">
            <v>0</v>
          </cell>
          <cell r="P2505">
            <v>0</v>
          </cell>
          <cell r="Q2505">
            <v>0</v>
          </cell>
          <cell r="R2505">
            <v>1</v>
          </cell>
          <cell r="S2505">
            <v>1</v>
          </cell>
          <cell r="T2505">
            <v>256</v>
          </cell>
          <cell r="U2505">
            <v>0</v>
          </cell>
          <cell r="V2505">
            <v>0</v>
          </cell>
          <cell r="W2505">
            <v>0</v>
          </cell>
          <cell r="X2505">
            <v>20.316666669677943</v>
          </cell>
          <cell r="Y2505">
            <v>20.316666669677943</v>
          </cell>
          <cell r="Z2505">
            <v>5201.0666674375534</v>
          </cell>
        </row>
        <row r="2506">
          <cell r="C2506" t="str">
            <v>TEKİRDAĞ</v>
          </cell>
          <cell r="D2506" t="str">
            <v>ERGENE</v>
          </cell>
          <cell r="H2506" t="str">
            <v>Dağıtım-AG</v>
          </cell>
          <cell r="I2506" t="str">
            <v>Uzun</v>
          </cell>
          <cell r="J2506" t="str">
            <v>Şebeke işletmecisi</v>
          </cell>
          <cell r="K2506" t="str">
            <v>Bildirimsiz</v>
          </cell>
          <cell r="O2506">
            <v>0</v>
          </cell>
          <cell r="P2506">
            <v>143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2898.133333590813</v>
          </cell>
          <cell r="W2506">
            <v>0</v>
          </cell>
          <cell r="X2506">
            <v>0</v>
          </cell>
          <cell r="Y2506">
            <v>0</v>
          </cell>
          <cell r="Z2506">
            <v>0</v>
          </cell>
        </row>
        <row r="2507">
          <cell r="C2507" t="str">
            <v>TEKİRDAĞ</v>
          </cell>
          <cell r="D2507" t="str">
            <v>MARMARAEREĞLİSİ</v>
          </cell>
          <cell r="H2507" t="str">
            <v>Dağıtım-AG</v>
          </cell>
          <cell r="I2507" t="str">
            <v>Uzun</v>
          </cell>
          <cell r="J2507" t="str">
            <v>Şebeke İşletmecisi</v>
          </cell>
          <cell r="K2507" t="str">
            <v>Bildirimsiz</v>
          </cell>
          <cell r="O2507">
            <v>0</v>
          </cell>
          <cell r="P2507">
            <v>0</v>
          </cell>
          <cell r="Q2507">
            <v>0</v>
          </cell>
          <cell r="R2507">
            <v>13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262.3833333759103</v>
          </cell>
          <cell r="Y2507">
            <v>0</v>
          </cell>
          <cell r="Z2507">
            <v>0</v>
          </cell>
        </row>
        <row r="2508">
          <cell r="C2508" t="str">
            <v>TEKİRDAĞ</v>
          </cell>
          <cell r="D2508" t="str">
            <v>ŞARKÖY</v>
          </cell>
          <cell r="H2508" t="str">
            <v>Dağıtım-AG</v>
          </cell>
          <cell r="I2508" t="str">
            <v>Uzun</v>
          </cell>
          <cell r="J2508" t="str">
            <v>Şebeke işletmecisi</v>
          </cell>
          <cell r="K2508" t="str">
            <v>Bildirimsiz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56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>
            <v>0</v>
          </cell>
          <cell r="Z2508">
            <v>1129.333333298564</v>
          </cell>
        </row>
        <row r="2509">
          <cell r="C2509" t="str">
            <v>EDİRNE</v>
          </cell>
          <cell r="D2509" t="str">
            <v>EDİRNEMERKEZ</v>
          </cell>
          <cell r="H2509" t="str">
            <v>Dağıtım-OG</v>
          </cell>
          <cell r="I2509" t="str">
            <v>Uzun</v>
          </cell>
          <cell r="J2509" t="str">
            <v>Şebeke işletmecisi</v>
          </cell>
          <cell r="K2509" t="str">
            <v>Bildirimsiz</v>
          </cell>
          <cell r="O2509">
            <v>4</v>
          </cell>
          <cell r="P2509">
            <v>1</v>
          </cell>
          <cell r="Q2509">
            <v>0</v>
          </cell>
          <cell r="R2509">
            <v>0</v>
          </cell>
          <cell r="S2509">
            <v>4</v>
          </cell>
          <cell r="T2509">
            <v>0</v>
          </cell>
          <cell r="U2509">
            <v>80.600000023841858</v>
          </cell>
          <cell r="V2509">
            <v>20.150000005960464</v>
          </cell>
          <cell r="W2509">
            <v>0</v>
          </cell>
          <cell r="X2509">
            <v>0</v>
          </cell>
          <cell r="Y2509">
            <v>80.600000023841858</v>
          </cell>
          <cell r="Z2509">
            <v>0</v>
          </cell>
        </row>
        <row r="2510">
          <cell r="C2510" t="str">
            <v>TEKİRDAĞ</v>
          </cell>
          <cell r="D2510" t="str">
            <v>MALKARA</v>
          </cell>
          <cell r="H2510" t="str">
            <v>Dağıtım-AG</v>
          </cell>
          <cell r="I2510" t="str">
            <v>Uzun</v>
          </cell>
          <cell r="J2510" t="str">
            <v>Şebeke işletmecisi</v>
          </cell>
          <cell r="K2510" t="str">
            <v>Bildirimsiz</v>
          </cell>
          <cell r="O2510">
            <v>0</v>
          </cell>
          <cell r="P2510">
            <v>1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20.049999993061647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</row>
        <row r="2511">
          <cell r="C2511" t="str">
            <v>TEKİRDAĞ</v>
          </cell>
          <cell r="D2511" t="str">
            <v>MARMARAEREĞLİSİ</v>
          </cell>
          <cell r="H2511" t="str">
            <v>Dağıtım-AG</v>
          </cell>
          <cell r="I2511" t="str">
            <v>Uzun</v>
          </cell>
          <cell r="J2511" t="str">
            <v>Şebeke işletmecisi</v>
          </cell>
          <cell r="K2511" t="str">
            <v>Bildirimsiz</v>
          </cell>
          <cell r="O2511">
            <v>0</v>
          </cell>
          <cell r="P2511">
            <v>21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420.69999999250285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</row>
        <row r="2512">
          <cell r="C2512" t="str">
            <v>KIRKLARELİ</v>
          </cell>
          <cell r="D2512" t="str">
            <v>LÜLEBURGAZ</v>
          </cell>
          <cell r="H2512" t="str">
            <v>Dağıtım-OG</v>
          </cell>
          <cell r="I2512" t="str">
            <v>Uzun</v>
          </cell>
          <cell r="J2512" t="str">
            <v>Şebeke işletmecisi</v>
          </cell>
          <cell r="K2512" t="str">
            <v>Bildirimsiz</v>
          </cell>
          <cell r="O2512">
            <v>2</v>
          </cell>
          <cell r="P2512">
            <v>3</v>
          </cell>
          <cell r="Q2512">
            <v>0</v>
          </cell>
          <cell r="R2512">
            <v>0</v>
          </cell>
          <cell r="S2512">
            <v>68</v>
          </cell>
          <cell r="T2512">
            <v>4385</v>
          </cell>
          <cell r="U2512">
            <v>40.033333345782012</v>
          </cell>
          <cell r="V2512">
            <v>60.050000018673018</v>
          </cell>
          <cell r="W2512">
            <v>0</v>
          </cell>
          <cell r="X2512">
            <v>0</v>
          </cell>
          <cell r="Y2512">
            <v>1361.1333337565884</v>
          </cell>
          <cell r="Z2512">
            <v>87773.083360627061</v>
          </cell>
        </row>
        <row r="2513">
          <cell r="C2513" t="str">
            <v>KIRKLARELİ</v>
          </cell>
          <cell r="D2513" t="str">
            <v>PINARHİSAR</v>
          </cell>
          <cell r="H2513" t="str">
            <v>Dağıtım-AG</v>
          </cell>
          <cell r="I2513" t="str">
            <v>Uzun</v>
          </cell>
          <cell r="J2513" t="str">
            <v>Şebeke işletmecisi</v>
          </cell>
          <cell r="K2513" t="str">
            <v>Bildirimsiz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58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1160.0000001350418</v>
          </cell>
        </row>
        <row r="2514">
          <cell r="C2514" t="str">
            <v>KIRKLARELİ</v>
          </cell>
          <cell r="D2514" t="str">
            <v>PINARHİSAR</v>
          </cell>
          <cell r="H2514" t="str">
            <v>Dağıtım-AG</v>
          </cell>
          <cell r="I2514" t="str">
            <v>Uzun</v>
          </cell>
          <cell r="J2514" t="str">
            <v>Şebeke işletmecisi</v>
          </cell>
          <cell r="K2514" t="str">
            <v>Bildirimsiz</v>
          </cell>
          <cell r="O2514">
            <v>0</v>
          </cell>
          <cell r="P2514">
            <v>0</v>
          </cell>
          <cell r="Q2514">
            <v>0</v>
          </cell>
          <cell r="R2514">
            <v>111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2220.000000258442</v>
          </cell>
          <cell r="Y2514">
            <v>0</v>
          </cell>
          <cell r="Z2514">
            <v>0</v>
          </cell>
        </row>
        <row r="2515">
          <cell r="C2515" t="str">
            <v>KIRKLARELİ</v>
          </cell>
          <cell r="D2515" t="str">
            <v>VİZE</v>
          </cell>
          <cell r="H2515" t="str">
            <v>Dağıtım-OG</v>
          </cell>
          <cell r="I2515" t="str">
            <v>Uzun</v>
          </cell>
          <cell r="J2515" t="str">
            <v>Şebeke İşletmecisi</v>
          </cell>
          <cell r="K2515" t="str">
            <v>Bildirimsiz</v>
          </cell>
          <cell r="O2515">
            <v>0</v>
          </cell>
          <cell r="P2515">
            <v>0</v>
          </cell>
          <cell r="Q2515">
            <v>10</v>
          </cell>
          <cell r="R2515">
            <v>1</v>
          </cell>
          <cell r="S2515">
            <v>3</v>
          </cell>
          <cell r="T2515">
            <v>0</v>
          </cell>
          <cell r="U2515">
            <v>0</v>
          </cell>
          <cell r="V2515">
            <v>0</v>
          </cell>
          <cell r="W2515">
            <v>200.00000002328306</v>
          </cell>
          <cell r="X2515">
            <v>20.000000002328306</v>
          </cell>
          <cell r="Y2515">
            <v>60.000000006984919</v>
          </cell>
          <cell r="Z2515">
            <v>0</v>
          </cell>
        </row>
        <row r="2516">
          <cell r="C2516" t="str">
            <v>EDİRNE</v>
          </cell>
          <cell r="D2516" t="str">
            <v>SÜLOĞLU</v>
          </cell>
          <cell r="H2516" t="str">
            <v>Dağıtım-AG</v>
          </cell>
          <cell r="I2516" t="str">
            <v>Uzun</v>
          </cell>
          <cell r="J2516" t="str">
            <v>Şebeke işletmecisi</v>
          </cell>
          <cell r="K2516" t="str">
            <v>Bildirimsiz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98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1960.000000228174</v>
          </cell>
        </row>
        <row r="2517">
          <cell r="C2517" t="str">
            <v>TEKİRDAĞ</v>
          </cell>
          <cell r="D2517" t="str">
            <v>SARAY</v>
          </cell>
          <cell r="H2517" t="str">
            <v>Dağıtım-OG</v>
          </cell>
          <cell r="I2517" t="str">
            <v>Uzun</v>
          </cell>
          <cell r="J2517" t="str">
            <v>Şebeke işletmecisi</v>
          </cell>
          <cell r="K2517" t="str">
            <v>Bildirimsiz</v>
          </cell>
          <cell r="O2517">
            <v>0</v>
          </cell>
          <cell r="P2517">
            <v>0</v>
          </cell>
          <cell r="Q2517">
            <v>1</v>
          </cell>
          <cell r="R2517">
            <v>263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20.000000002328306</v>
          </cell>
          <cell r="X2517">
            <v>5260.0000006123446</v>
          </cell>
          <cell r="Y2517">
            <v>0</v>
          </cell>
          <cell r="Z2517">
            <v>0</v>
          </cell>
        </row>
        <row r="2518">
          <cell r="C2518" t="str">
            <v>KIRKLARELİ</v>
          </cell>
          <cell r="D2518" t="str">
            <v>DEMİRKÖY</v>
          </cell>
          <cell r="H2518" t="str">
            <v>Dağıtım-AG</v>
          </cell>
          <cell r="I2518" t="str">
            <v>Uzun</v>
          </cell>
          <cell r="J2518" t="str">
            <v>Şebeke işletmecisi</v>
          </cell>
          <cell r="K2518" t="str">
            <v>Bildirimsiz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2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40.000000004656613</v>
          </cell>
        </row>
        <row r="2519">
          <cell r="C2519" t="str">
            <v>KIRKLARELİ</v>
          </cell>
          <cell r="D2519" t="str">
            <v>PINARHİSAR</v>
          </cell>
          <cell r="H2519" t="str">
            <v>Dağıtım-AG</v>
          </cell>
          <cell r="I2519" t="str">
            <v>Uzun</v>
          </cell>
          <cell r="J2519" t="str">
            <v>Şebeke işletmecisi</v>
          </cell>
          <cell r="K2519" t="str">
            <v>Bildirimsiz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21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419.99999982886948</v>
          </cell>
        </row>
        <row r="2520">
          <cell r="C2520" t="str">
            <v>KIRKLARELİ</v>
          </cell>
          <cell r="D2520" t="str">
            <v>PINARHİSAR</v>
          </cell>
          <cell r="H2520" t="str">
            <v>Dağıtım-AG</v>
          </cell>
          <cell r="I2520" t="str">
            <v>Uzun</v>
          </cell>
          <cell r="J2520" t="str">
            <v>Şebeke işletmecisi</v>
          </cell>
          <cell r="K2520" t="str">
            <v>Bildirimsiz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3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59.999999975552782</v>
          </cell>
        </row>
        <row r="2521">
          <cell r="C2521" t="str">
            <v>TEKİRDAĞ</v>
          </cell>
          <cell r="D2521" t="str">
            <v>SÜLEYMANPAŞA</v>
          </cell>
          <cell r="H2521" t="str">
            <v>Dağıtım-AG</v>
          </cell>
          <cell r="I2521" t="str">
            <v>Uzun</v>
          </cell>
          <cell r="J2521" t="str">
            <v>Şebeke işletmecisi</v>
          </cell>
          <cell r="K2521" t="str">
            <v>Bildirimsiz</v>
          </cell>
          <cell r="O2521">
            <v>0</v>
          </cell>
          <cell r="P2521">
            <v>1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19.983333331765607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</row>
        <row r="2522">
          <cell r="C2522" t="str">
            <v>EDİRNE</v>
          </cell>
          <cell r="D2522" t="str">
            <v>İPSALA</v>
          </cell>
          <cell r="H2522" t="str">
            <v>Dağıtım-OG</v>
          </cell>
          <cell r="I2522" t="str">
            <v>Uzun</v>
          </cell>
          <cell r="J2522" t="str">
            <v>Şebeke işletmecisi</v>
          </cell>
          <cell r="K2522" t="str">
            <v>Bildirimsiz</v>
          </cell>
          <cell r="O2522">
            <v>0</v>
          </cell>
          <cell r="P2522">
            <v>0</v>
          </cell>
          <cell r="Q2522">
            <v>5</v>
          </cell>
          <cell r="R2522">
            <v>742</v>
          </cell>
          <cell r="S2522">
            <v>5</v>
          </cell>
          <cell r="T2522">
            <v>1</v>
          </cell>
          <cell r="U2522">
            <v>0</v>
          </cell>
          <cell r="V2522">
            <v>0</v>
          </cell>
          <cell r="W2522">
            <v>99.833333358401433</v>
          </cell>
          <cell r="X2522">
            <v>14815.266670386773</v>
          </cell>
          <cell r="Y2522">
            <v>99.833333358401433</v>
          </cell>
          <cell r="Z2522">
            <v>19.966666671680287</v>
          </cell>
        </row>
        <row r="2523">
          <cell r="C2523" t="str">
            <v>KIRKLARELİ</v>
          </cell>
          <cell r="D2523" t="str">
            <v>BABAESKİ</v>
          </cell>
          <cell r="H2523" t="str">
            <v>Dağıtım-AG</v>
          </cell>
          <cell r="I2523" t="str">
            <v>Uzun</v>
          </cell>
          <cell r="J2523" t="str">
            <v>Şebeke işletmecisi</v>
          </cell>
          <cell r="K2523" t="str">
            <v>Bildirimsiz</v>
          </cell>
          <cell r="O2523">
            <v>0</v>
          </cell>
          <cell r="P2523">
            <v>1</v>
          </cell>
          <cell r="Q2523">
            <v>0</v>
          </cell>
          <cell r="R2523">
            <v>0</v>
          </cell>
          <cell r="S2523">
            <v>0</v>
          </cell>
          <cell r="T2523">
            <v>12</v>
          </cell>
          <cell r="U2523">
            <v>0</v>
          </cell>
          <cell r="V2523">
            <v>19.966666671680287</v>
          </cell>
          <cell r="W2523">
            <v>0</v>
          </cell>
          <cell r="X2523">
            <v>0</v>
          </cell>
          <cell r="Y2523">
            <v>0</v>
          </cell>
          <cell r="Z2523">
            <v>239.60000006016344</v>
          </cell>
        </row>
        <row r="2524">
          <cell r="C2524" t="str">
            <v>TEKİRDAĞ</v>
          </cell>
          <cell r="D2524" t="str">
            <v>ŞARKÖY</v>
          </cell>
          <cell r="H2524" t="str">
            <v>Dağıtım-AG</v>
          </cell>
          <cell r="I2524" t="str">
            <v>Uzun</v>
          </cell>
          <cell r="J2524" t="str">
            <v>Şebeke işletmecisi</v>
          </cell>
          <cell r="K2524" t="str">
            <v>Bildirimsiz</v>
          </cell>
          <cell r="O2524">
            <v>0</v>
          </cell>
          <cell r="P2524">
            <v>0</v>
          </cell>
          <cell r="Q2524">
            <v>0</v>
          </cell>
          <cell r="R2524">
            <v>92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1835.400000102818</v>
          </cell>
          <cell r="Y2524">
            <v>0</v>
          </cell>
          <cell r="Z2524">
            <v>0</v>
          </cell>
        </row>
        <row r="2525">
          <cell r="C2525" t="str">
            <v>KIRKLARELİ</v>
          </cell>
          <cell r="D2525" t="str">
            <v>KIRKLARELİMERKEZ</v>
          </cell>
          <cell r="H2525" t="str">
            <v>Dağıtım-OG</v>
          </cell>
          <cell r="I2525" t="str">
            <v>Uzun</v>
          </cell>
          <cell r="J2525" t="str">
            <v>Şebeke işletmecisi</v>
          </cell>
          <cell r="K2525" t="str">
            <v>Bildirimsiz</v>
          </cell>
          <cell r="O2525">
            <v>2</v>
          </cell>
          <cell r="P2525">
            <v>1</v>
          </cell>
          <cell r="Q2525">
            <v>0</v>
          </cell>
          <cell r="R2525">
            <v>0</v>
          </cell>
          <cell r="S2525">
            <v>10</v>
          </cell>
          <cell r="T2525">
            <v>0</v>
          </cell>
          <cell r="U2525">
            <v>39.833333340939134</v>
          </cell>
          <cell r="V2525">
            <v>19.916666670469567</v>
          </cell>
          <cell r="W2525">
            <v>0</v>
          </cell>
          <cell r="X2525">
            <v>0</v>
          </cell>
          <cell r="Y2525">
            <v>199.16666670469567</v>
          </cell>
          <cell r="Z2525">
            <v>0</v>
          </cell>
        </row>
        <row r="2526">
          <cell r="C2526" t="str">
            <v>EDİRNE</v>
          </cell>
          <cell r="D2526" t="str">
            <v>LALAPAŞA</v>
          </cell>
          <cell r="H2526" t="str">
            <v>Dağıtım-AG</v>
          </cell>
          <cell r="I2526" t="str">
            <v>Uzun</v>
          </cell>
          <cell r="J2526" t="str">
            <v>Şebeke işletmecisi</v>
          </cell>
          <cell r="K2526" t="str">
            <v>Bildirimsiz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61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1212.8833330899943</v>
          </cell>
        </row>
        <row r="2527">
          <cell r="C2527" t="str">
            <v>TEKİRDAĞ</v>
          </cell>
          <cell r="D2527" t="str">
            <v>ÇORLU</v>
          </cell>
          <cell r="H2527" t="str">
            <v>Dağıtım-OG</v>
          </cell>
          <cell r="I2527" t="str">
            <v>Uzun</v>
          </cell>
          <cell r="J2527" t="str">
            <v>Şebeke işletmecisi</v>
          </cell>
          <cell r="K2527" t="str">
            <v>Bildirimli</v>
          </cell>
          <cell r="O2527">
            <v>0</v>
          </cell>
          <cell r="P2527">
            <v>1</v>
          </cell>
          <cell r="Q2527">
            <v>0</v>
          </cell>
          <cell r="R2527">
            <v>0</v>
          </cell>
          <cell r="S2527">
            <v>10</v>
          </cell>
          <cell r="T2527">
            <v>442</v>
          </cell>
          <cell r="U2527">
            <v>0</v>
          </cell>
          <cell r="V2527">
            <v>19.883333329344168</v>
          </cell>
          <cell r="W2527">
            <v>0</v>
          </cell>
          <cell r="X2527">
            <v>0</v>
          </cell>
          <cell r="Y2527">
            <v>198.83333329344168</v>
          </cell>
          <cell r="Z2527">
            <v>8788.4333315701224</v>
          </cell>
        </row>
        <row r="2528">
          <cell r="C2528" t="str">
            <v>EDİRNE</v>
          </cell>
          <cell r="D2528" t="str">
            <v>EDİRNEMERKEZ</v>
          </cell>
          <cell r="H2528" t="str">
            <v>Dağıtım-OG</v>
          </cell>
          <cell r="I2528" t="str">
            <v>Uzun</v>
          </cell>
          <cell r="J2528" t="str">
            <v>Şebeke İşletmecisi</v>
          </cell>
          <cell r="K2528" t="str">
            <v>Bildirimsiz</v>
          </cell>
          <cell r="O2528">
            <v>2</v>
          </cell>
          <cell r="P2528">
            <v>7384</v>
          </cell>
          <cell r="Q2528">
            <v>0</v>
          </cell>
          <cell r="R2528">
            <v>1</v>
          </cell>
          <cell r="S2528">
            <v>0</v>
          </cell>
          <cell r="T2528">
            <v>4</v>
          </cell>
          <cell r="U2528">
            <v>39.733333317562938</v>
          </cell>
          <cell r="V2528">
            <v>146695.46660844237</v>
          </cell>
          <cell r="W2528">
            <v>0</v>
          </cell>
          <cell r="X2528">
            <v>19.866666658781469</v>
          </cell>
          <cell r="Y2528">
            <v>0</v>
          </cell>
          <cell r="Z2528">
            <v>79.466666635125875</v>
          </cell>
        </row>
        <row r="2529">
          <cell r="C2529" t="str">
            <v>KIRKLARELİ</v>
          </cell>
          <cell r="D2529" t="str">
            <v>LÜLEBURGAZ</v>
          </cell>
          <cell r="H2529" t="str">
            <v>Dağıtım-OG</v>
          </cell>
          <cell r="I2529" t="str">
            <v>Uzun</v>
          </cell>
          <cell r="J2529" t="str">
            <v>Şebeke İşletmecisi</v>
          </cell>
          <cell r="K2529" t="str">
            <v>Bildirimsiz</v>
          </cell>
          <cell r="O2529">
            <v>0</v>
          </cell>
          <cell r="P2529">
            <v>0</v>
          </cell>
          <cell r="Q2529">
            <v>3</v>
          </cell>
          <cell r="R2529">
            <v>302</v>
          </cell>
          <cell r="S2529">
            <v>2</v>
          </cell>
          <cell r="T2529">
            <v>1</v>
          </cell>
          <cell r="U2529">
            <v>0</v>
          </cell>
          <cell r="V2529">
            <v>0</v>
          </cell>
          <cell r="W2529">
            <v>59.549999996088445</v>
          </cell>
          <cell r="X2529">
            <v>5994.6999996062368</v>
          </cell>
          <cell r="Y2529">
            <v>39.699999997392297</v>
          </cell>
          <cell r="Z2529">
            <v>19.849999998696148</v>
          </cell>
        </row>
        <row r="2530">
          <cell r="C2530" t="str">
            <v>EDİRNE</v>
          </cell>
          <cell r="D2530" t="str">
            <v>EDİRNEMERKEZ</v>
          </cell>
          <cell r="H2530" t="str">
            <v>Dağıtım-AG</v>
          </cell>
          <cell r="I2530" t="str">
            <v>Uzun</v>
          </cell>
          <cell r="J2530" t="str">
            <v>Şebeke işletmecisi</v>
          </cell>
          <cell r="K2530" t="str">
            <v>Bildirimsiz</v>
          </cell>
          <cell r="O2530">
            <v>0</v>
          </cell>
          <cell r="P2530">
            <v>17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337.44999997783452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</row>
        <row r="2531">
          <cell r="C2531" t="str">
            <v>KIRKLARELİ</v>
          </cell>
          <cell r="D2531" t="str">
            <v>KIRKLARELİMERKEZ</v>
          </cell>
          <cell r="H2531" t="str">
            <v>Dağıtım-OG</v>
          </cell>
          <cell r="I2531" t="str">
            <v>Uzun</v>
          </cell>
          <cell r="J2531" t="str">
            <v>Şebeke İşletmecisi</v>
          </cell>
          <cell r="K2531" t="str">
            <v>Bildirimsiz</v>
          </cell>
          <cell r="O2531">
            <v>2</v>
          </cell>
          <cell r="P2531">
            <v>0</v>
          </cell>
          <cell r="Q2531">
            <v>0</v>
          </cell>
          <cell r="R2531">
            <v>0</v>
          </cell>
          <cell r="S2531">
            <v>1</v>
          </cell>
          <cell r="T2531">
            <v>0</v>
          </cell>
          <cell r="U2531">
            <v>39.699999997392297</v>
          </cell>
          <cell r="V2531">
            <v>0</v>
          </cell>
          <cell r="W2531">
            <v>0</v>
          </cell>
          <cell r="X2531">
            <v>0</v>
          </cell>
          <cell r="Y2531">
            <v>19.849999998696148</v>
          </cell>
          <cell r="Z2531">
            <v>0</v>
          </cell>
        </row>
        <row r="2532">
          <cell r="C2532" t="str">
            <v>KIRKLARELİ</v>
          </cell>
          <cell r="D2532" t="str">
            <v>LÜLEBURGAZ</v>
          </cell>
          <cell r="H2532" t="str">
            <v>Dağıtım-OG</v>
          </cell>
          <cell r="I2532" t="str">
            <v>Uzun</v>
          </cell>
          <cell r="J2532" t="str">
            <v>Şebeke İşletmecisi</v>
          </cell>
          <cell r="K2532" t="str">
            <v>Bildirimsiz</v>
          </cell>
          <cell r="O2532">
            <v>2</v>
          </cell>
          <cell r="P2532">
            <v>0</v>
          </cell>
          <cell r="Q2532">
            <v>0</v>
          </cell>
          <cell r="R2532">
            <v>0</v>
          </cell>
          <cell r="S2532">
            <v>31</v>
          </cell>
          <cell r="T2532">
            <v>796</v>
          </cell>
          <cell r="U2532">
            <v>39.666666677221656</v>
          </cell>
          <cell r="V2532">
            <v>0</v>
          </cell>
          <cell r="W2532">
            <v>0</v>
          </cell>
          <cell r="X2532">
            <v>0</v>
          </cell>
          <cell r="Y2532">
            <v>614.83333349693567</v>
          </cell>
          <cell r="Z2532">
            <v>15787.333337534219</v>
          </cell>
        </row>
        <row r="2533">
          <cell r="C2533" t="str">
            <v>TEKİRDAĞ</v>
          </cell>
          <cell r="D2533" t="str">
            <v>ÇERKEZKÖY</v>
          </cell>
          <cell r="H2533" t="str">
            <v>Dağıtım-OG</v>
          </cell>
          <cell r="I2533" t="str">
            <v>Uzun</v>
          </cell>
          <cell r="J2533" t="str">
            <v>Şebeke işletmecisi</v>
          </cell>
          <cell r="K2533" t="str">
            <v>Bildirimsiz</v>
          </cell>
          <cell r="O2533">
            <v>0</v>
          </cell>
          <cell r="P2533">
            <v>34</v>
          </cell>
          <cell r="Q2533">
            <v>0</v>
          </cell>
          <cell r="R2533">
            <v>2</v>
          </cell>
          <cell r="S2533">
            <v>0</v>
          </cell>
          <cell r="T2533">
            <v>0</v>
          </cell>
          <cell r="U2533">
            <v>0</v>
          </cell>
          <cell r="V2533">
            <v>673.19999991450459</v>
          </cell>
          <cell r="W2533">
            <v>0</v>
          </cell>
          <cell r="X2533">
            <v>39.599999994970858</v>
          </cell>
          <cell r="Y2533">
            <v>0</v>
          </cell>
          <cell r="Z2533">
            <v>0</v>
          </cell>
        </row>
        <row r="2534">
          <cell r="C2534" t="str">
            <v>KIRKLARELİ</v>
          </cell>
          <cell r="D2534" t="str">
            <v>KIRKLARELİMERKEZ</v>
          </cell>
          <cell r="H2534" t="str">
            <v>Dağıtım-OG</v>
          </cell>
          <cell r="I2534" t="str">
            <v>Uzun</v>
          </cell>
          <cell r="J2534" t="str">
            <v>Şebeke işletmecisi</v>
          </cell>
          <cell r="K2534" t="str">
            <v>Bildirimsiz</v>
          </cell>
          <cell r="O2534">
            <v>2</v>
          </cell>
          <cell r="P2534">
            <v>1</v>
          </cell>
          <cell r="Q2534">
            <v>0</v>
          </cell>
          <cell r="R2534">
            <v>0</v>
          </cell>
          <cell r="S2534">
            <v>10</v>
          </cell>
          <cell r="T2534">
            <v>0</v>
          </cell>
          <cell r="U2534">
            <v>39.599999994970858</v>
          </cell>
          <cell r="V2534">
            <v>19.799999997485429</v>
          </cell>
          <cell r="W2534">
            <v>0</v>
          </cell>
          <cell r="X2534">
            <v>0</v>
          </cell>
          <cell r="Y2534">
            <v>197.99999997485429</v>
          </cell>
          <cell r="Z2534">
            <v>0</v>
          </cell>
        </row>
        <row r="2535">
          <cell r="C2535" t="str">
            <v>KIRKLARELİ</v>
          </cell>
          <cell r="D2535" t="str">
            <v>PINARHİSAR</v>
          </cell>
          <cell r="H2535" t="str">
            <v>Dağıtım-OG</v>
          </cell>
          <cell r="I2535" t="str">
            <v>Uzun</v>
          </cell>
          <cell r="J2535" t="str">
            <v>Şebeke işletmecisi</v>
          </cell>
          <cell r="K2535" t="str">
            <v>Bildirimsiz</v>
          </cell>
          <cell r="O2535">
            <v>0</v>
          </cell>
          <cell r="P2535">
            <v>0</v>
          </cell>
          <cell r="Q2535">
            <v>1</v>
          </cell>
          <cell r="R2535">
            <v>271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19.783333337400109</v>
          </cell>
          <cell r="X2535">
            <v>5361.2833344354294</v>
          </cell>
          <cell r="Y2535">
            <v>0</v>
          </cell>
          <cell r="Z2535">
            <v>0</v>
          </cell>
        </row>
        <row r="2536">
          <cell r="C2536" t="str">
            <v>TEKİRDAĞ</v>
          </cell>
          <cell r="D2536" t="str">
            <v>ÇORLU</v>
          </cell>
          <cell r="H2536" t="str">
            <v>Dağıtım-AG</v>
          </cell>
          <cell r="I2536" t="str">
            <v>Uzun</v>
          </cell>
          <cell r="J2536" t="str">
            <v>Şebeke işletmecisi</v>
          </cell>
          <cell r="K2536" t="str">
            <v>Bildirimsiz</v>
          </cell>
          <cell r="O2536">
            <v>0</v>
          </cell>
          <cell r="P2536">
            <v>66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1305.6999995769002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</row>
        <row r="2537">
          <cell r="C2537" t="str">
            <v>TEKİRDAĞ</v>
          </cell>
          <cell r="D2537" t="str">
            <v>MARMARAEREĞLİSİ</v>
          </cell>
          <cell r="H2537" t="str">
            <v>Dağıtım-AG</v>
          </cell>
          <cell r="I2537" t="str">
            <v>Uzun</v>
          </cell>
          <cell r="J2537" t="str">
            <v>Şebeke işletmecisi</v>
          </cell>
          <cell r="K2537" t="str">
            <v>Bildirimsiz</v>
          </cell>
          <cell r="O2537">
            <v>0</v>
          </cell>
          <cell r="P2537">
            <v>83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1640.633333347505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</row>
        <row r="2538">
          <cell r="C2538" t="str">
            <v>TEKİRDAĞ</v>
          </cell>
          <cell r="D2538" t="str">
            <v>MARMARAEREĞLİSİ</v>
          </cell>
          <cell r="H2538" t="str">
            <v>Dağıtım-AG</v>
          </cell>
          <cell r="I2538" t="str">
            <v>Uzun</v>
          </cell>
          <cell r="J2538" t="str">
            <v>Şebeke işletmecisi</v>
          </cell>
          <cell r="K2538" t="str">
            <v>Bildirimsiz</v>
          </cell>
          <cell r="O2538">
            <v>0</v>
          </cell>
          <cell r="P2538">
            <v>0</v>
          </cell>
          <cell r="Q2538">
            <v>0</v>
          </cell>
          <cell r="R2538">
            <v>13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256.96666666888632</v>
          </cell>
          <cell r="Y2538">
            <v>0</v>
          </cell>
          <cell r="Z2538">
            <v>0</v>
          </cell>
        </row>
        <row r="2539">
          <cell r="C2539" t="str">
            <v>TEKİRDAĞ</v>
          </cell>
          <cell r="D2539" t="str">
            <v>MARMARAEREĞLİSİ</v>
          </cell>
          <cell r="H2539" t="str">
            <v>Dağıtım-AG</v>
          </cell>
          <cell r="I2539" t="str">
            <v>Uzun</v>
          </cell>
          <cell r="J2539" t="str">
            <v>Şebeke işletmecisi</v>
          </cell>
          <cell r="K2539" t="str">
            <v>Bildirimsiz</v>
          </cell>
          <cell r="O2539">
            <v>0</v>
          </cell>
          <cell r="P2539">
            <v>85</v>
          </cell>
          <cell r="Q2539">
            <v>0</v>
          </cell>
          <cell r="R2539">
            <v>1</v>
          </cell>
          <cell r="S2539">
            <v>0</v>
          </cell>
          <cell r="T2539">
            <v>0</v>
          </cell>
          <cell r="U2539">
            <v>0</v>
          </cell>
          <cell r="V2539">
            <v>1678.7500005739275</v>
          </cell>
          <cell r="W2539">
            <v>0</v>
          </cell>
          <cell r="X2539">
            <v>19.750000006752089</v>
          </cell>
          <cell r="Y2539">
            <v>0</v>
          </cell>
          <cell r="Z2539">
            <v>0</v>
          </cell>
        </row>
        <row r="2540">
          <cell r="C2540" t="str">
            <v>KIRKLARELİ</v>
          </cell>
          <cell r="D2540" t="str">
            <v>BABAESKİ</v>
          </cell>
          <cell r="H2540" t="str">
            <v>Dağıtım-AG</v>
          </cell>
          <cell r="I2540" t="str">
            <v>Uzun</v>
          </cell>
          <cell r="J2540" t="str">
            <v>Şebeke işletmecisi</v>
          </cell>
          <cell r="K2540" t="str">
            <v>Bildirimsiz</v>
          </cell>
          <cell r="O2540">
            <v>0</v>
          </cell>
          <cell r="P2540">
            <v>6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118.0000000493601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</row>
        <row r="2541">
          <cell r="C2541" t="str">
            <v>TEKİRDAĞ</v>
          </cell>
          <cell r="D2541" t="str">
            <v>KAPAKLI</v>
          </cell>
          <cell r="H2541" t="str">
            <v>Dağıtım-AG</v>
          </cell>
          <cell r="I2541" t="str">
            <v>Uzun</v>
          </cell>
          <cell r="J2541" t="str">
            <v>Şebeke işletmecisi</v>
          </cell>
          <cell r="K2541" t="str">
            <v>Bildirimsiz</v>
          </cell>
          <cell r="O2541">
            <v>0</v>
          </cell>
          <cell r="P2541">
            <v>385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7571.6666698339395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</row>
        <row r="2542">
          <cell r="C2542" t="str">
            <v>TEKİRDAĞ</v>
          </cell>
          <cell r="D2542" t="str">
            <v>MARMARAEREĞLİSİ</v>
          </cell>
          <cell r="H2542" t="str">
            <v>Dağıtım-AG</v>
          </cell>
          <cell r="I2542" t="str">
            <v>Uzun</v>
          </cell>
          <cell r="J2542" t="str">
            <v>Şebeke işletmecisi</v>
          </cell>
          <cell r="K2542" t="str">
            <v>Bildirimsiz</v>
          </cell>
          <cell r="O2542">
            <v>0</v>
          </cell>
          <cell r="P2542">
            <v>13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255.45000005629845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</row>
        <row r="2543">
          <cell r="C2543" t="str">
            <v>TEKİRDAĞ</v>
          </cell>
          <cell r="D2543" t="str">
            <v>ŞARKÖY</v>
          </cell>
          <cell r="H2543" t="str">
            <v>Dağıtım-AG</v>
          </cell>
          <cell r="I2543" t="str">
            <v>Uzun</v>
          </cell>
          <cell r="J2543" t="str">
            <v>Şebeke işletmecisi</v>
          </cell>
          <cell r="K2543" t="str">
            <v>Bildirimsiz</v>
          </cell>
          <cell r="O2543">
            <v>0</v>
          </cell>
          <cell r="P2543">
            <v>61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1197.633333359845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</row>
        <row r="2544">
          <cell r="C2544" t="str">
            <v>TEKİRDAĞ</v>
          </cell>
          <cell r="D2544" t="str">
            <v>ŞARKÖY</v>
          </cell>
          <cell r="H2544" t="str">
            <v>Dağıtım-OG</v>
          </cell>
          <cell r="I2544" t="str">
            <v>Uzun</v>
          </cell>
          <cell r="J2544" t="str">
            <v>Şebeke işletmecisi</v>
          </cell>
          <cell r="K2544" t="str">
            <v>Bildirimsiz</v>
          </cell>
          <cell r="O2544">
            <v>0</v>
          </cell>
          <cell r="P2544">
            <v>0</v>
          </cell>
          <cell r="Q2544">
            <v>0</v>
          </cell>
          <cell r="R2544">
            <v>539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10573.38333146763</v>
          </cell>
          <cell r="Y2544">
            <v>0</v>
          </cell>
          <cell r="Z2544">
            <v>0</v>
          </cell>
        </row>
        <row r="2545">
          <cell r="C2545" t="str">
            <v>TEKİRDAĞ</v>
          </cell>
          <cell r="D2545" t="str">
            <v>ÇERKEZKÖY</v>
          </cell>
          <cell r="H2545" t="str">
            <v>Dağıtım-OG</v>
          </cell>
          <cell r="I2545" t="str">
            <v>Uzun</v>
          </cell>
          <cell r="J2545" t="str">
            <v>Şebeke işletmecisi</v>
          </cell>
          <cell r="K2545" t="str">
            <v>Bildirimsiz</v>
          </cell>
          <cell r="O2545">
            <v>17</v>
          </cell>
          <cell r="P2545">
            <v>26796</v>
          </cell>
          <cell r="Q2545">
            <v>10</v>
          </cell>
          <cell r="R2545">
            <v>2092</v>
          </cell>
          <cell r="S2545">
            <v>0</v>
          </cell>
          <cell r="T2545">
            <v>0</v>
          </cell>
          <cell r="U2545">
            <v>333.48333327448927</v>
          </cell>
          <cell r="V2545">
            <v>525648.19990724791</v>
          </cell>
          <cell r="W2545">
            <v>196.16666663205251</v>
          </cell>
          <cell r="X2545">
            <v>41038.066659425385</v>
          </cell>
          <cell r="Y2545">
            <v>0</v>
          </cell>
          <cell r="Z2545">
            <v>0</v>
          </cell>
        </row>
        <row r="2546">
          <cell r="C2546" t="str">
            <v>EDİRNE</v>
          </cell>
          <cell r="D2546" t="str">
            <v>EDİRNEMERKEZ</v>
          </cell>
          <cell r="H2546" t="str">
            <v>Dağıtım-OG</v>
          </cell>
          <cell r="I2546" t="str">
            <v>Uzun</v>
          </cell>
          <cell r="J2546" t="str">
            <v>Şebeke işletmecisi</v>
          </cell>
          <cell r="K2546" t="str">
            <v>Bildirimsiz</v>
          </cell>
          <cell r="O2546">
            <v>0</v>
          </cell>
          <cell r="P2546">
            <v>1542</v>
          </cell>
          <cell r="Q2546">
            <v>0</v>
          </cell>
          <cell r="R2546">
            <v>2</v>
          </cell>
          <cell r="S2546">
            <v>0</v>
          </cell>
          <cell r="T2546">
            <v>3</v>
          </cell>
          <cell r="U2546">
            <v>0</v>
          </cell>
          <cell r="V2546">
            <v>30223.200004810933</v>
          </cell>
          <cell r="W2546">
            <v>0</v>
          </cell>
          <cell r="X2546">
            <v>39.200000006239861</v>
          </cell>
          <cell r="Y2546">
            <v>0</v>
          </cell>
          <cell r="Z2546">
            <v>58.800000009359792</v>
          </cell>
        </row>
        <row r="2547">
          <cell r="C2547" t="str">
            <v>EDİRNE</v>
          </cell>
          <cell r="D2547" t="str">
            <v>KEŞAN</v>
          </cell>
          <cell r="H2547" t="str">
            <v>Dağıtım-AG</v>
          </cell>
          <cell r="I2547" t="str">
            <v>Uzun</v>
          </cell>
          <cell r="J2547" t="str">
            <v>Şebeke işletmecisi</v>
          </cell>
          <cell r="K2547" t="str">
            <v>Bildirimsiz</v>
          </cell>
          <cell r="O2547">
            <v>0</v>
          </cell>
          <cell r="P2547">
            <v>0</v>
          </cell>
          <cell r="Q2547">
            <v>0</v>
          </cell>
          <cell r="R2547">
            <v>289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5664.3999978736974</v>
          </cell>
          <cell r="Y2547">
            <v>0</v>
          </cell>
          <cell r="Z2547">
            <v>0</v>
          </cell>
        </row>
        <row r="2548">
          <cell r="C2548" t="str">
            <v>EDİRNE</v>
          </cell>
          <cell r="D2548" t="str">
            <v>ENEZ</v>
          </cell>
          <cell r="H2548" t="str">
            <v>Dağıtım-AG</v>
          </cell>
          <cell r="I2548" t="str">
            <v>Uzun</v>
          </cell>
          <cell r="J2548" t="str">
            <v>Şebeke işletmecisi</v>
          </cell>
          <cell r="K2548" t="str">
            <v>Bildirimsiz</v>
          </cell>
          <cell r="O2548">
            <v>0</v>
          </cell>
          <cell r="P2548">
            <v>0</v>
          </cell>
          <cell r="Q2548">
            <v>0</v>
          </cell>
          <cell r="R2548">
            <v>5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97.833333309972659</v>
          </cell>
          <cell r="Y2548">
            <v>0</v>
          </cell>
          <cell r="Z2548">
            <v>0</v>
          </cell>
        </row>
        <row r="2549">
          <cell r="C2549" t="str">
            <v>TEKİRDAĞ</v>
          </cell>
          <cell r="D2549" t="str">
            <v>SÜLEYMANPAŞA</v>
          </cell>
          <cell r="H2549" t="str">
            <v>Dağıtım-AG</v>
          </cell>
          <cell r="I2549" t="str">
            <v>Uzun</v>
          </cell>
          <cell r="J2549" t="str">
            <v>Şebeke işletmecisi</v>
          </cell>
          <cell r="K2549" t="str">
            <v>Bildirimsiz</v>
          </cell>
          <cell r="O2549">
            <v>0</v>
          </cell>
          <cell r="P2549">
            <v>62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1210.0333329685964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</row>
        <row r="2550">
          <cell r="C2550" t="str">
            <v>KIRKLARELİ</v>
          </cell>
          <cell r="D2550" t="str">
            <v>VİZE</v>
          </cell>
          <cell r="H2550" t="str">
            <v>Dağıtım-OG</v>
          </cell>
          <cell r="I2550" t="str">
            <v>Uzun</v>
          </cell>
          <cell r="J2550" t="str">
            <v>Şebeke İşletmecisi</v>
          </cell>
          <cell r="K2550" t="str">
            <v>Bildirimsiz</v>
          </cell>
          <cell r="O2550">
            <v>0</v>
          </cell>
          <cell r="P2550">
            <v>12</v>
          </cell>
          <cell r="Q2550">
            <v>1</v>
          </cell>
          <cell r="R2550">
            <v>0</v>
          </cell>
          <cell r="S2550">
            <v>5</v>
          </cell>
          <cell r="T2550">
            <v>683</v>
          </cell>
          <cell r="U2550">
            <v>0</v>
          </cell>
          <cell r="V2550">
            <v>234.0000000083819</v>
          </cell>
          <cell r="W2550">
            <v>19.500000000698492</v>
          </cell>
          <cell r="X2550">
            <v>0</v>
          </cell>
          <cell r="Y2550">
            <v>97.50000000349246</v>
          </cell>
          <cell r="Z2550">
            <v>13318.50000047707</v>
          </cell>
        </row>
        <row r="2551">
          <cell r="C2551" t="str">
            <v>TEKİRDAĞ</v>
          </cell>
          <cell r="D2551" t="str">
            <v>ÇORLU</v>
          </cell>
          <cell r="H2551" t="str">
            <v>Dağıtım-AG</v>
          </cell>
          <cell r="I2551" t="str">
            <v>Uzun</v>
          </cell>
          <cell r="J2551" t="str">
            <v>Şebeke işletmecisi</v>
          </cell>
          <cell r="K2551" t="str">
            <v>Bildirimsiz</v>
          </cell>
          <cell r="O2551">
            <v>0</v>
          </cell>
          <cell r="P2551">
            <v>36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700.80000012181699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</row>
        <row r="2552">
          <cell r="C2552" t="str">
            <v>TEKİRDAĞ</v>
          </cell>
          <cell r="D2552" t="str">
            <v>MARMARAEREĞLİSİ</v>
          </cell>
          <cell r="H2552" t="str">
            <v>Dağıtım-AG</v>
          </cell>
          <cell r="I2552" t="str">
            <v>Uzun</v>
          </cell>
          <cell r="J2552" t="str">
            <v>Şebeke işletmecisi</v>
          </cell>
          <cell r="K2552" t="str">
            <v>Bildirimsiz</v>
          </cell>
          <cell r="O2552">
            <v>0</v>
          </cell>
          <cell r="P2552">
            <v>0</v>
          </cell>
          <cell r="Q2552">
            <v>0</v>
          </cell>
          <cell r="R2552">
            <v>2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38.933333340100944</v>
          </cell>
          <cell r="Y2552">
            <v>0</v>
          </cell>
          <cell r="Z2552">
            <v>0</v>
          </cell>
        </row>
        <row r="2553">
          <cell r="C2553" t="str">
            <v>TEKİRDAĞ</v>
          </cell>
          <cell r="D2553" t="str">
            <v>ÇERKEZKÖY</v>
          </cell>
          <cell r="H2553" t="str">
            <v>Dağıtım-AG</v>
          </cell>
          <cell r="I2553" t="str">
            <v>Uzun</v>
          </cell>
          <cell r="J2553" t="str">
            <v>Şebeke işletmecisi</v>
          </cell>
          <cell r="K2553" t="str">
            <v>Bildirimsiz</v>
          </cell>
          <cell r="O2553">
            <v>0</v>
          </cell>
          <cell r="P2553">
            <v>140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2725.333332340233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</row>
        <row r="2554">
          <cell r="C2554" t="str">
            <v>KIRKLARELİ</v>
          </cell>
          <cell r="D2554" t="str">
            <v>BABAESKİ</v>
          </cell>
          <cell r="H2554" t="str">
            <v>Dağıtım-AG</v>
          </cell>
          <cell r="I2554" t="str">
            <v>Uzun</v>
          </cell>
          <cell r="J2554" t="str">
            <v>Şebeke işletmecisi</v>
          </cell>
          <cell r="K2554" t="str">
            <v>Bildirimsiz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4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77.666666633449495</v>
          </cell>
        </row>
        <row r="2555">
          <cell r="C2555" t="str">
            <v>EDİRNE</v>
          </cell>
          <cell r="D2555" t="str">
            <v>KEŞAN</v>
          </cell>
          <cell r="H2555" t="str">
            <v>Dağıtım-AG</v>
          </cell>
          <cell r="I2555" t="str">
            <v>Uzun</v>
          </cell>
          <cell r="J2555" t="str">
            <v>Şebeke işletmecisi</v>
          </cell>
          <cell r="K2555" t="str">
            <v>Bildirimsiz</v>
          </cell>
          <cell r="O2555">
            <v>0</v>
          </cell>
          <cell r="P2555">
            <v>7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135.79999998793937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</row>
        <row r="2556">
          <cell r="C2556" t="str">
            <v>TEKİRDAĞ</v>
          </cell>
          <cell r="D2556" t="str">
            <v>MARMARAEREĞLİSİ</v>
          </cell>
          <cell r="H2556" t="str">
            <v>Dağıtım-AG</v>
          </cell>
          <cell r="I2556" t="str">
            <v>Uzun</v>
          </cell>
          <cell r="J2556" t="str">
            <v>Şebeke işletmecisi</v>
          </cell>
          <cell r="K2556" t="str">
            <v>Bildirimsiz</v>
          </cell>
          <cell r="O2556">
            <v>0</v>
          </cell>
          <cell r="P2556">
            <v>0</v>
          </cell>
          <cell r="Q2556">
            <v>0</v>
          </cell>
          <cell r="R2556">
            <v>2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38.733333335258067</v>
          </cell>
          <cell r="Y2556">
            <v>0</v>
          </cell>
          <cell r="Z2556">
            <v>0</v>
          </cell>
        </row>
        <row r="2557">
          <cell r="C2557" t="str">
            <v>TEKİRDAĞ</v>
          </cell>
          <cell r="D2557" t="str">
            <v>MARMARAEREĞLİSİ</v>
          </cell>
          <cell r="H2557" t="str">
            <v>Dağıtım-AG</v>
          </cell>
          <cell r="I2557" t="str">
            <v>Uzun</v>
          </cell>
          <cell r="J2557" t="str">
            <v>Şebeke işletmecisi</v>
          </cell>
          <cell r="K2557" t="str">
            <v>Bildirimsiz</v>
          </cell>
          <cell r="O2557">
            <v>0</v>
          </cell>
          <cell r="P2557">
            <v>0</v>
          </cell>
          <cell r="Q2557">
            <v>0</v>
          </cell>
          <cell r="R2557">
            <v>6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115.99999995902181</v>
          </cell>
          <cell r="Y2557">
            <v>0</v>
          </cell>
          <cell r="Z2557">
            <v>0</v>
          </cell>
        </row>
        <row r="2558">
          <cell r="C2558" t="str">
            <v>TEKİRDAĞ</v>
          </cell>
          <cell r="D2558" t="str">
            <v>MARMARAEREĞLİSİ</v>
          </cell>
          <cell r="H2558" t="str">
            <v>Dağıtım-AG</v>
          </cell>
          <cell r="I2558" t="str">
            <v>Uzun</v>
          </cell>
          <cell r="J2558" t="str">
            <v>Şebeke işletmecisi</v>
          </cell>
          <cell r="K2558" t="str">
            <v>Bildirimsiz</v>
          </cell>
          <cell r="O2558">
            <v>0</v>
          </cell>
          <cell r="P2558">
            <v>0</v>
          </cell>
          <cell r="Q2558">
            <v>0</v>
          </cell>
          <cell r="R2558">
            <v>2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38.633333332836628</v>
          </cell>
          <cell r="Y2558">
            <v>0</v>
          </cell>
          <cell r="Z2558">
            <v>0</v>
          </cell>
        </row>
        <row r="2559">
          <cell r="C2559" t="str">
            <v>KIRKLARELİ</v>
          </cell>
          <cell r="D2559" t="str">
            <v>BABAESKİ</v>
          </cell>
          <cell r="H2559" t="str">
            <v>Dağıtım-AG</v>
          </cell>
          <cell r="I2559" t="str">
            <v>Uzun</v>
          </cell>
          <cell r="J2559" t="str">
            <v>Şebeke işletmecisi</v>
          </cell>
          <cell r="K2559" t="str">
            <v>Bildirimsiz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2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38.566666671540588</v>
          </cell>
        </row>
        <row r="2560">
          <cell r="C2560" t="str">
            <v>KIRKLARELİ</v>
          </cell>
          <cell r="D2560" t="str">
            <v>BABAESKİ</v>
          </cell>
          <cell r="H2560" t="str">
            <v>Dağıtım-AG</v>
          </cell>
          <cell r="I2560" t="str">
            <v>Uzun</v>
          </cell>
          <cell r="J2560" t="str">
            <v>Şebeke işletmecisi</v>
          </cell>
          <cell r="K2560" t="str">
            <v>Bildirimsiz</v>
          </cell>
          <cell r="O2560">
            <v>0</v>
          </cell>
          <cell r="P2560">
            <v>0</v>
          </cell>
          <cell r="Q2560">
            <v>0</v>
          </cell>
          <cell r="R2560">
            <v>1</v>
          </cell>
          <cell r="S2560">
            <v>0</v>
          </cell>
          <cell r="T2560">
            <v>215</v>
          </cell>
          <cell r="U2560">
            <v>0</v>
          </cell>
          <cell r="V2560">
            <v>0</v>
          </cell>
          <cell r="W2560">
            <v>0</v>
          </cell>
          <cell r="X2560">
            <v>19.283333335770294</v>
          </cell>
          <cell r="Y2560">
            <v>0</v>
          </cell>
          <cell r="Z2560">
            <v>4145.9166671906132</v>
          </cell>
        </row>
        <row r="2561">
          <cell r="C2561" t="str">
            <v>TEKİRDAĞ</v>
          </cell>
          <cell r="D2561" t="str">
            <v>MARMARAEREĞLİSİ</v>
          </cell>
          <cell r="H2561" t="str">
            <v>Dağıtım-AG</v>
          </cell>
          <cell r="I2561" t="str">
            <v>Uzun</v>
          </cell>
          <cell r="J2561" t="str">
            <v>Şebeke işletmecisi</v>
          </cell>
          <cell r="K2561" t="str">
            <v>Bildirimsiz</v>
          </cell>
          <cell r="O2561">
            <v>0</v>
          </cell>
          <cell r="P2561">
            <v>0</v>
          </cell>
          <cell r="Q2561">
            <v>0</v>
          </cell>
          <cell r="R2561">
            <v>59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1136.7333338654134</v>
          </cell>
          <cell r="Y2561">
            <v>0</v>
          </cell>
          <cell r="Z2561">
            <v>0</v>
          </cell>
        </row>
        <row r="2562">
          <cell r="C2562" t="str">
            <v>KIRKLARELİ</v>
          </cell>
          <cell r="D2562" t="str">
            <v>KIRKLARELİMERKEZ</v>
          </cell>
          <cell r="H2562" t="str">
            <v>Dağıtım-OG</v>
          </cell>
          <cell r="I2562" t="str">
            <v>Uzun</v>
          </cell>
          <cell r="J2562" t="str">
            <v>Şebeke işletmecisi</v>
          </cell>
          <cell r="K2562" t="str">
            <v>Bildirimsiz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1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19.250000005122274</v>
          </cell>
          <cell r="Z2562">
            <v>0</v>
          </cell>
        </row>
        <row r="2563">
          <cell r="C2563" t="str">
            <v>TEKİRDAĞ</v>
          </cell>
          <cell r="D2563" t="str">
            <v>MARMARAEREĞLİSİ</v>
          </cell>
          <cell r="H2563" t="str">
            <v>Dağıtım-AG</v>
          </cell>
          <cell r="I2563" t="str">
            <v>Uzun</v>
          </cell>
          <cell r="J2563" t="str">
            <v>Şebeke işletmecisi</v>
          </cell>
          <cell r="K2563" t="str">
            <v>Bildirimsiz</v>
          </cell>
          <cell r="O2563">
            <v>0</v>
          </cell>
          <cell r="P2563">
            <v>30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577.49999983934686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</row>
        <row r="2564">
          <cell r="C2564" t="str">
            <v>EDİRNE</v>
          </cell>
          <cell r="D2564" t="str">
            <v>KEŞAN</v>
          </cell>
          <cell r="H2564" t="str">
            <v>Dağıtım-AG</v>
          </cell>
          <cell r="I2564" t="str">
            <v>Uzun</v>
          </cell>
          <cell r="J2564" t="str">
            <v>Şebeke işletmecisi</v>
          </cell>
          <cell r="K2564" t="str">
            <v>Bildirimsiz</v>
          </cell>
          <cell r="O2564">
            <v>0</v>
          </cell>
          <cell r="P2564">
            <v>5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96.083333372371271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</row>
        <row r="2565">
          <cell r="C2565" t="str">
            <v>TEKİRDAĞ</v>
          </cell>
          <cell r="D2565" t="str">
            <v>ÇERKEZKÖY</v>
          </cell>
          <cell r="H2565" t="str">
            <v>Dağıtım-OG</v>
          </cell>
          <cell r="I2565" t="str">
            <v>Uzun</v>
          </cell>
          <cell r="J2565" t="str">
            <v>Şebeke işletmecisi</v>
          </cell>
          <cell r="K2565" t="str">
            <v>Bildirimli</v>
          </cell>
          <cell r="O2565">
            <v>9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172.6500000001397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</row>
        <row r="2566">
          <cell r="C2566" t="str">
            <v>EDİRNE</v>
          </cell>
          <cell r="D2566" t="str">
            <v>KEŞAN</v>
          </cell>
          <cell r="H2566" t="str">
            <v>Dağıtım-OG</v>
          </cell>
          <cell r="I2566" t="str">
            <v>Uzun</v>
          </cell>
          <cell r="J2566" t="str">
            <v>Şebeke İşletmecisi</v>
          </cell>
          <cell r="K2566" t="str">
            <v>Bildirimsiz</v>
          </cell>
          <cell r="O2566">
            <v>2</v>
          </cell>
          <cell r="P2566">
            <v>20</v>
          </cell>
          <cell r="Q2566">
            <v>0</v>
          </cell>
          <cell r="R2566">
            <v>0</v>
          </cell>
          <cell r="S2566">
            <v>17</v>
          </cell>
          <cell r="T2566">
            <v>16</v>
          </cell>
          <cell r="U2566">
            <v>38.300000005401671</v>
          </cell>
          <cell r="V2566">
            <v>383.00000005401671</v>
          </cell>
          <cell r="W2566">
            <v>0</v>
          </cell>
          <cell r="X2566">
            <v>0</v>
          </cell>
          <cell r="Y2566">
            <v>325.5500000459142</v>
          </cell>
          <cell r="Z2566">
            <v>306.40000004321337</v>
          </cell>
        </row>
        <row r="2567">
          <cell r="C2567" t="str">
            <v>KIRKLARELİ</v>
          </cell>
          <cell r="D2567" t="str">
            <v>VİZE</v>
          </cell>
          <cell r="H2567" t="str">
            <v>Dağıtım-OG</v>
          </cell>
          <cell r="I2567" t="str">
            <v>Uzun</v>
          </cell>
          <cell r="J2567" t="str">
            <v>Şebeke İşletmecisi</v>
          </cell>
          <cell r="K2567" t="str">
            <v>Bildirimsiz</v>
          </cell>
          <cell r="O2567">
            <v>0</v>
          </cell>
          <cell r="P2567">
            <v>0</v>
          </cell>
          <cell r="Q2567">
            <v>10</v>
          </cell>
          <cell r="R2567">
            <v>1</v>
          </cell>
          <cell r="S2567">
            <v>3</v>
          </cell>
          <cell r="T2567">
            <v>0</v>
          </cell>
          <cell r="U2567">
            <v>0</v>
          </cell>
          <cell r="V2567">
            <v>0</v>
          </cell>
          <cell r="W2567">
            <v>191.49999992223457</v>
          </cell>
          <cell r="X2567">
            <v>19.149999992223457</v>
          </cell>
          <cell r="Y2567">
            <v>57.44999997667037</v>
          </cell>
          <cell r="Z2567">
            <v>0</v>
          </cell>
        </row>
        <row r="2568">
          <cell r="C2568" t="str">
            <v>TEKİRDAĞ</v>
          </cell>
          <cell r="D2568" t="str">
            <v>SÜLEYMANPAŞA</v>
          </cell>
          <cell r="H2568" t="str">
            <v>Dağıtım-AG</v>
          </cell>
          <cell r="I2568" t="str">
            <v>Uzun</v>
          </cell>
          <cell r="J2568" t="str">
            <v>Şebeke işletmecisi</v>
          </cell>
          <cell r="K2568" t="str">
            <v>Bildirimsiz</v>
          </cell>
          <cell r="O2568">
            <v>0</v>
          </cell>
          <cell r="P2568">
            <v>74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1414.6333329565823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</row>
        <row r="2569">
          <cell r="C2569" t="str">
            <v>TEKİRDAĞ</v>
          </cell>
          <cell r="D2569" t="str">
            <v>HAYRABOLU</v>
          </cell>
          <cell r="H2569" t="str">
            <v>Dağıtım-OG</v>
          </cell>
          <cell r="I2569" t="str">
            <v>Uzun</v>
          </cell>
          <cell r="J2569" t="str">
            <v>Şebeke işletmecisi</v>
          </cell>
          <cell r="K2569" t="str">
            <v>Bildirimsiz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2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38.233333323150873</v>
          </cell>
          <cell r="Z2569">
            <v>0</v>
          </cell>
        </row>
        <row r="2570">
          <cell r="C2570" t="str">
            <v>KIRKLARELİ</v>
          </cell>
          <cell r="D2570" t="str">
            <v>KIRKLARELİMERKEZ</v>
          </cell>
          <cell r="H2570" t="str">
            <v>Dağıtım-OG</v>
          </cell>
          <cell r="I2570" t="str">
            <v>Uzun</v>
          </cell>
          <cell r="J2570" t="str">
            <v>Şebeke işletmecisi</v>
          </cell>
          <cell r="K2570" t="str">
            <v>Bildirimsiz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1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19.100000001490116</v>
          </cell>
          <cell r="Z2570">
            <v>0</v>
          </cell>
        </row>
        <row r="2571">
          <cell r="C2571" t="str">
            <v>KIRKLARELİ</v>
          </cell>
          <cell r="D2571" t="str">
            <v>BABAESKİ</v>
          </cell>
          <cell r="H2571" t="str">
            <v>Dağıtım-AG</v>
          </cell>
          <cell r="I2571" t="str">
            <v>Uzun</v>
          </cell>
          <cell r="J2571" t="str">
            <v>Şebeke işletmecisi</v>
          </cell>
          <cell r="K2571" t="str">
            <v>Bildirimsiz</v>
          </cell>
          <cell r="O2571">
            <v>0</v>
          </cell>
          <cell r="P2571">
            <v>96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1832.0000007748604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</row>
        <row r="2572">
          <cell r="C2572" t="str">
            <v>TEKİRDAĞ</v>
          </cell>
          <cell r="D2572" t="str">
            <v>SÜLEYMANPAŞA</v>
          </cell>
          <cell r="H2572" t="str">
            <v>Dağıtım-AG</v>
          </cell>
          <cell r="I2572" t="str">
            <v>Uzun</v>
          </cell>
          <cell r="J2572" t="str">
            <v>Şebeke işletmecisi</v>
          </cell>
          <cell r="K2572" t="str">
            <v>Bildirimsiz</v>
          </cell>
          <cell r="O2572">
            <v>0</v>
          </cell>
          <cell r="P2572">
            <v>112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2133.6000000312924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</row>
        <row r="2573">
          <cell r="C2573" t="str">
            <v>KIRKLARELİ</v>
          </cell>
          <cell r="D2573" t="str">
            <v>LÜLEBURGAZ</v>
          </cell>
          <cell r="H2573" t="str">
            <v>Dağıtım-AG</v>
          </cell>
          <cell r="I2573" t="str">
            <v>Uzun</v>
          </cell>
          <cell r="J2573" t="str">
            <v>Şebeke işletmecisi</v>
          </cell>
          <cell r="K2573" t="str">
            <v>Bildirimsiz</v>
          </cell>
          <cell r="O2573">
            <v>0</v>
          </cell>
          <cell r="P2573">
            <v>112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2133.6000000312924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</row>
        <row r="2574">
          <cell r="C2574" t="str">
            <v>TEKİRDAĞ</v>
          </cell>
          <cell r="D2574" t="str">
            <v>MALKARA</v>
          </cell>
          <cell r="H2574" t="str">
            <v>Dağıtım-OG</v>
          </cell>
          <cell r="I2574" t="str">
            <v>Uzun</v>
          </cell>
          <cell r="J2574" t="str">
            <v>Şebeke işletmecisi</v>
          </cell>
          <cell r="K2574" t="str">
            <v>Bildirimsiz</v>
          </cell>
          <cell r="O2574">
            <v>2</v>
          </cell>
          <cell r="P2574">
            <v>0</v>
          </cell>
          <cell r="Q2574">
            <v>1</v>
          </cell>
          <cell r="R2574">
            <v>1</v>
          </cell>
          <cell r="S2574">
            <v>0</v>
          </cell>
          <cell r="T2574">
            <v>0</v>
          </cell>
          <cell r="U2574">
            <v>38.066666659433395</v>
          </cell>
          <cell r="V2574">
            <v>0</v>
          </cell>
          <cell r="W2574">
            <v>19.033333329716697</v>
          </cell>
          <cell r="X2574">
            <v>19.033333329716697</v>
          </cell>
          <cell r="Y2574">
            <v>0</v>
          </cell>
          <cell r="Z2574">
            <v>0</v>
          </cell>
        </row>
        <row r="2575">
          <cell r="C2575" t="str">
            <v>EDİRNE</v>
          </cell>
          <cell r="D2575" t="str">
            <v>EDİRNEMERKEZ</v>
          </cell>
          <cell r="H2575" t="str">
            <v>Dağıtım-AG</v>
          </cell>
          <cell r="I2575" t="str">
            <v>Uzun</v>
          </cell>
          <cell r="J2575" t="str">
            <v>Şebeke işletmecisi</v>
          </cell>
          <cell r="K2575" t="str">
            <v>Bildirimsiz</v>
          </cell>
          <cell r="O2575">
            <v>0</v>
          </cell>
          <cell r="P2575">
            <v>172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3267.9999998398125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</row>
        <row r="2576">
          <cell r="C2576" t="str">
            <v>TEKİRDAĞ</v>
          </cell>
          <cell r="D2576" t="str">
            <v>MARMARAEREĞLİSİ</v>
          </cell>
          <cell r="H2576" t="str">
            <v>Dağıtım-AG</v>
          </cell>
          <cell r="I2576" t="str">
            <v>Uzun</v>
          </cell>
          <cell r="J2576" t="str">
            <v>Şebeke işletmecisi</v>
          </cell>
          <cell r="K2576" t="str">
            <v>Bildirimsiz</v>
          </cell>
          <cell r="O2576">
            <v>0</v>
          </cell>
          <cell r="P2576">
            <v>0</v>
          </cell>
          <cell r="Q2576">
            <v>0</v>
          </cell>
          <cell r="R2576">
            <v>64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1214.9333330243826</v>
          </cell>
          <cell r="Y2576">
            <v>0</v>
          </cell>
          <cell r="Z2576">
            <v>0</v>
          </cell>
        </row>
        <row r="2577">
          <cell r="C2577" t="str">
            <v>EDİRNE</v>
          </cell>
          <cell r="D2577" t="str">
            <v>KEŞAN</v>
          </cell>
          <cell r="H2577" t="str">
            <v>Dağıtım-AG</v>
          </cell>
          <cell r="I2577" t="str">
            <v>Uzun</v>
          </cell>
          <cell r="J2577" t="str">
            <v>Şebeke işletmecisi</v>
          </cell>
          <cell r="K2577" t="str">
            <v>Bildirimsiz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3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56.949999985517934</v>
          </cell>
        </row>
        <row r="2578">
          <cell r="C2578" t="str">
            <v>TEKİRDAĞ</v>
          </cell>
          <cell r="D2578" t="str">
            <v>ŞARKÖY</v>
          </cell>
          <cell r="H2578" t="str">
            <v>Dağıtım-AG</v>
          </cell>
          <cell r="I2578" t="str">
            <v>Uzun</v>
          </cell>
          <cell r="J2578" t="str">
            <v>Şebeke işletmecisi</v>
          </cell>
          <cell r="K2578" t="str">
            <v>Bildirimsiz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13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246.35000010835938</v>
          </cell>
        </row>
        <row r="2579">
          <cell r="C2579" t="str">
            <v>EDİRNE</v>
          </cell>
          <cell r="D2579" t="str">
            <v>EDİRNEMERKEZ</v>
          </cell>
          <cell r="H2579" t="str">
            <v>Dağıtım-OG</v>
          </cell>
          <cell r="I2579" t="str">
            <v>Uzun</v>
          </cell>
          <cell r="J2579" t="str">
            <v>Şebeke İşletmecisi</v>
          </cell>
          <cell r="K2579" t="str">
            <v>Bildirimsiz</v>
          </cell>
          <cell r="O2579">
            <v>4</v>
          </cell>
          <cell r="P2579">
            <v>108</v>
          </cell>
          <cell r="Q2579">
            <v>0</v>
          </cell>
          <cell r="R2579">
            <v>0</v>
          </cell>
          <cell r="S2579">
            <v>5</v>
          </cell>
          <cell r="T2579">
            <v>0</v>
          </cell>
          <cell r="U2579">
            <v>75.799999991431832</v>
          </cell>
          <cell r="V2579">
            <v>2046.5999997686595</v>
          </cell>
          <cell r="W2579">
            <v>0</v>
          </cell>
          <cell r="X2579">
            <v>0</v>
          </cell>
          <cell r="Y2579">
            <v>94.74999998928979</v>
          </cell>
          <cell r="Z2579">
            <v>0</v>
          </cell>
        </row>
        <row r="2580">
          <cell r="C2580" t="str">
            <v>KIRKLARELİ</v>
          </cell>
          <cell r="D2580" t="str">
            <v>VİZE</v>
          </cell>
          <cell r="H2580" t="str">
            <v>Dağıtım-AG</v>
          </cell>
          <cell r="I2580" t="str">
            <v>Uzun</v>
          </cell>
          <cell r="J2580" t="str">
            <v>Şebeke işletmecisi</v>
          </cell>
          <cell r="K2580" t="str">
            <v>Bildirimsiz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49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928.54999989503995</v>
          </cell>
        </row>
        <row r="2581">
          <cell r="C2581" t="str">
            <v>EDİRNE</v>
          </cell>
          <cell r="D2581" t="str">
            <v>KEŞAN</v>
          </cell>
          <cell r="H2581" t="str">
            <v>Dağıtım-AG</v>
          </cell>
          <cell r="I2581" t="str">
            <v>Uzun</v>
          </cell>
          <cell r="J2581" t="str">
            <v>Şebeke işletmecisi</v>
          </cell>
          <cell r="K2581" t="str">
            <v>Bildirimsiz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6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113.59999996377155</v>
          </cell>
        </row>
        <row r="2582">
          <cell r="C2582" t="str">
            <v>EDİRNE</v>
          </cell>
          <cell r="D2582" t="str">
            <v>EDİRNEMERKEZ</v>
          </cell>
          <cell r="H2582" t="str">
            <v>Dağıtım-OG</v>
          </cell>
          <cell r="I2582" t="str">
            <v>Uzun</v>
          </cell>
          <cell r="J2582" t="str">
            <v>Şebeke İşletmecisi</v>
          </cell>
          <cell r="K2582" t="str">
            <v>Bildirimsiz</v>
          </cell>
          <cell r="O2582">
            <v>6</v>
          </cell>
          <cell r="P2582">
            <v>3064</v>
          </cell>
          <cell r="Q2582">
            <v>0</v>
          </cell>
          <cell r="R2582">
            <v>0</v>
          </cell>
          <cell r="S2582">
            <v>2</v>
          </cell>
          <cell r="T2582">
            <v>1</v>
          </cell>
          <cell r="U2582">
            <v>113.59999996377155</v>
          </cell>
          <cell r="V2582">
            <v>58011.733314832672</v>
          </cell>
          <cell r="W2582">
            <v>0</v>
          </cell>
          <cell r="X2582">
            <v>0</v>
          </cell>
          <cell r="Y2582">
            <v>37.866666654590517</v>
          </cell>
          <cell r="Z2582">
            <v>18.933333327295259</v>
          </cell>
        </row>
        <row r="2583">
          <cell r="C2583" t="str">
            <v>TEKİRDAĞ</v>
          </cell>
          <cell r="D2583" t="str">
            <v>KAPAKLI</v>
          </cell>
          <cell r="H2583" t="str">
            <v>Dağıtım-OG</v>
          </cell>
          <cell r="I2583" t="str">
            <v>Uzun</v>
          </cell>
          <cell r="J2583" t="str">
            <v>Şebeke İşletmecisi</v>
          </cell>
          <cell r="K2583" t="str">
            <v>Bildirimsiz</v>
          </cell>
          <cell r="O2583">
            <v>2</v>
          </cell>
          <cell r="P2583">
            <v>2100</v>
          </cell>
          <cell r="Q2583">
            <v>0</v>
          </cell>
          <cell r="R2583">
            <v>1</v>
          </cell>
          <cell r="S2583">
            <v>0</v>
          </cell>
          <cell r="T2583">
            <v>0</v>
          </cell>
          <cell r="U2583">
            <v>37.833333334419876</v>
          </cell>
          <cell r="V2583">
            <v>39725.00000114087</v>
          </cell>
          <cell r="W2583">
            <v>0</v>
          </cell>
          <cell r="X2583">
            <v>18.916666667209938</v>
          </cell>
          <cell r="Y2583">
            <v>0</v>
          </cell>
          <cell r="Z2583">
            <v>0</v>
          </cell>
        </row>
        <row r="2584">
          <cell r="C2584" t="str">
            <v>TEKİRDAĞ</v>
          </cell>
          <cell r="D2584" t="str">
            <v>MARMARAEREĞLİSİ</v>
          </cell>
          <cell r="H2584" t="str">
            <v>Dağıtım-AG</v>
          </cell>
          <cell r="I2584" t="str">
            <v>Uzun</v>
          </cell>
          <cell r="J2584" t="str">
            <v>Şebeke işletmecisi</v>
          </cell>
          <cell r="K2584" t="str">
            <v>Bildirimsiz</v>
          </cell>
          <cell r="O2584">
            <v>0</v>
          </cell>
          <cell r="P2584">
            <v>0</v>
          </cell>
          <cell r="Q2584">
            <v>0</v>
          </cell>
          <cell r="R2584">
            <v>4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75.599999986588955</v>
          </cell>
          <cell r="Y2584">
            <v>0</v>
          </cell>
          <cell r="Z2584">
            <v>0</v>
          </cell>
        </row>
        <row r="2585">
          <cell r="C2585" t="str">
            <v>EDİRNE</v>
          </cell>
          <cell r="D2585" t="str">
            <v>HAVSA</v>
          </cell>
          <cell r="H2585" t="str">
            <v>Dağıtım-OG</v>
          </cell>
          <cell r="I2585" t="str">
            <v>Uzun</v>
          </cell>
          <cell r="J2585" t="str">
            <v>Şebeke işletmecisi</v>
          </cell>
          <cell r="K2585" t="str">
            <v>Bildirimsiz</v>
          </cell>
          <cell r="O2585">
            <v>0</v>
          </cell>
          <cell r="P2585">
            <v>0</v>
          </cell>
          <cell r="Q2585">
            <v>5</v>
          </cell>
          <cell r="R2585">
            <v>0</v>
          </cell>
          <cell r="S2585">
            <v>3</v>
          </cell>
          <cell r="T2585">
            <v>0</v>
          </cell>
          <cell r="U2585">
            <v>0</v>
          </cell>
          <cell r="V2585">
            <v>0</v>
          </cell>
          <cell r="W2585">
            <v>94.416666682809591</v>
          </cell>
          <cell r="X2585">
            <v>0</v>
          </cell>
          <cell r="Y2585">
            <v>56.650000009685755</v>
          </cell>
          <cell r="Z2585">
            <v>0</v>
          </cell>
        </row>
        <row r="2586">
          <cell r="C2586" t="str">
            <v>EDİRNE</v>
          </cell>
          <cell r="D2586" t="str">
            <v>KEŞAN</v>
          </cell>
          <cell r="H2586" t="str">
            <v>Dağıtım-OG</v>
          </cell>
          <cell r="I2586" t="str">
            <v>Uzun</v>
          </cell>
          <cell r="J2586" t="str">
            <v>Şebeke işletmecisi</v>
          </cell>
          <cell r="K2586" t="str">
            <v>Bildirimsiz</v>
          </cell>
          <cell r="O2586">
            <v>1</v>
          </cell>
          <cell r="P2586">
            <v>30</v>
          </cell>
          <cell r="Q2586">
            <v>0</v>
          </cell>
          <cell r="R2586">
            <v>0</v>
          </cell>
          <cell r="S2586">
            <v>2</v>
          </cell>
          <cell r="T2586">
            <v>1</v>
          </cell>
          <cell r="U2586">
            <v>18.883333336561918</v>
          </cell>
          <cell r="V2586">
            <v>566.50000009685755</v>
          </cell>
          <cell r="W2586">
            <v>0</v>
          </cell>
          <cell r="X2586">
            <v>0</v>
          </cell>
          <cell r="Y2586">
            <v>37.766666673123837</v>
          </cell>
          <cell r="Z2586">
            <v>18.883333336561918</v>
          </cell>
        </row>
        <row r="2587">
          <cell r="C2587" t="str">
            <v>TEKİRDAĞ</v>
          </cell>
          <cell r="D2587" t="str">
            <v>MARMARAEREĞLİSİ</v>
          </cell>
          <cell r="H2587" t="str">
            <v>Dağıtım-AG</v>
          </cell>
          <cell r="I2587" t="str">
            <v>Uzun</v>
          </cell>
          <cell r="J2587" t="str">
            <v>Şebeke işletmecisi</v>
          </cell>
          <cell r="K2587" t="str">
            <v>Bildirimsiz</v>
          </cell>
          <cell r="O2587">
            <v>0</v>
          </cell>
          <cell r="P2587">
            <v>0</v>
          </cell>
          <cell r="Q2587">
            <v>0</v>
          </cell>
          <cell r="R2587">
            <v>1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18.883333326084539</v>
          </cell>
          <cell r="Y2587">
            <v>0</v>
          </cell>
          <cell r="Z2587">
            <v>0</v>
          </cell>
        </row>
        <row r="2588">
          <cell r="C2588" t="str">
            <v>EDİRNE</v>
          </cell>
          <cell r="D2588" t="str">
            <v>MERİÇ</v>
          </cell>
          <cell r="H2588" t="str">
            <v>Dağıtım-AG</v>
          </cell>
          <cell r="I2588" t="str">
            <v>Uzun</v>
          </cell>
          <cell r="J2588" t="str">
            <v>Şebeke işletmecisi</v>
          </cell>
          <cell r="K2588" t="str">
            <v>Bildirimsiz</v>
          </cell>
          <cell r="O2588">
            <v>0</v>
          </cell>
          <cell r="P2588">
            <v>0</v>
          </cell>
          <cell r="Q2588">
            <v>0</v>
          </cell>
          <cell r="R2588">
            <v>32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603.733333311975</v>
          </cell>
          <cell r="Y2588">
            <v>0</v>
          </cell>
          <cell r="Z2588">
            <v>0</v>
          </cell>
        </row>
        <row r="2589">
          <cell r="C2589" t="str">
            <v>KIRKLARELİ</v>
          </cell>
          <cell r="D2589" t="str">
            <v>BABAESKİ</v>
          </cell>
          <cell r="H2589" t="str">
            <v>Dağıtım-AG</v>
          </cell>
          <cell r="I2589" t="str">
            <v>Uzun</v>
          </cell>
          <cell r="J2589" t="str">
            <v>Şebeke işletmecisi</v>
          </cell>
          <cell r="K2589" t="str">
            <v>Bildirimsiz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28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527.80000016558915</v>
          </cell>
        </row>
        <row r="2590">
          <cell r="C2590" t="str">
            <v>KIRKLARELİ</v>
          </cell>
          <cell r="D2590" t="str">
            <v>KIRKLARELİMERKEZ</v>
          </cell>
          <cell r="H2590" t="str">
            <v>Dağıtım-OG</v>
          </cell>
          <cell r="I2590" t="str">
            <v>Uzun</v>
          </cell>
          <cell r="J2590" t="str">
            <v>Şebeke işletmecisi</v>
          </cell>
          <cell r="K2590" t="str">
            <v>Bildirimsiz</v>
          </cell>
          <cell r="O2590">
            <v>1</v>
          </cell>
          <cell r="P2590">
            <v>41</v>
          </cell>
          <cell r="Q2590">
            <v>0</v>
          </cell>
          <cell r="R2590">
            <v>0</v>
          </cell>
          <cell r="S2590">
            <v>0</v>
          </cell>
          <cell r="T2590">
            <v>1</v>
          </cell>
          <cell r="U2590">
            <v>18.833333335351199</v>
          </cell>
          <cell r="V2590">
            <v>772.16666674939916</v>
          </cell>
          <cell r="W2590">
            <v>0</v>
          </cell>
          <cell r="X2590">
            <v>0</v>
          </cell>
          <cell r="Y2590">
            <v>0</v>
          </cell>
          <cell r="Z2590">
            <v>18.833333335351199</v>
          </cell>
        </row>
        <row r="2591">
          <cell r="C2591" t="str">
            <v>EDİRNE</v>
          </cell>
          <cell r="D2591" t="str">
            <v>KEŞAN</v>
          </cell>
          <cell r="H2591" t="str">
            <v>Dağıtım-AG</v>
          </cell>
          <cell r="I2591" t="str">
            <v>Uzun</v>
          </cell>
          <cell r="J2591" t="str">
            <v>Şebeke işletmecisi</v>
          </cell>
          <cell r="K2591" t="str">
            <v>Bildirimsiz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52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974.9999996367842</v>
          </cell>
        </row>
        <row r="2592">
          <cell r="C2592" t="str">
            <v>KIRKLARELİ</v>
          </cell>
          <cell r="D2592" t="str">
            <v>PINARHİSAR</v>
          </cell>
          <cell r="H2592" t="str">
            <v>Dağıtım-OG</v>
          </cell>
          <cell r="I2592" t="str">
            <v>Uzun</v>
          </cell>
          <cell r="J2592" t="str">
            <v>Şebeke İşletmecisi</v>
          </cell>
          <cell r="K2592" t="str">
            <v>Bildirimsiz</v>
          </cell>
          <cell r="O2592">
            <v>0</v>
          </cell>
          <cell r="P2592">
            <v>0</v>
          </cell>
          <cell r="Q2592">
            <v>0</v>
          </cell>
          <cell r="R2592">
            <v>1</v>
          </cell>
          <cell r="S2592">
            <v>0</v>
          </cell>
          <cell r="T2592">
            <v>392</v>
          </cell>
          <cell r="U2592">
            <v>0</v>
          </cell>
          <cell r="V2592">
            <v>0</v>
          </cell>
          <cell r="W2592">
            <v>0</v>
          </cell>
          <cell r="X2592">
            <v>18.73333333292976</v>
          </cell>
          <cell r="Y2592">
            <v>0</v>
          </cell>
          <cell r="Z2592">
            <v>7343.466666508466</v>
          </cell>
        </row>
        <row r="2593">
          <cell r="C2593" t="str">
            <v>EDİRNE</v>
          </cell>
          <cell r="D2593" t="str">
            <v>UZUNKÖPRÜ</v>
          </cell>
          <cell r="H2593" t="str">
            <v>Dağıtım-AG</v>
          </cell>
          <cell r="I2593" t="str">
            <v>Uzun</v>
          </cell>
          <cell r="J2593" t="str">
            <v>Şebeke işletmecisi</v>
          </cell>
          <cell r="K2593" t="str">
            <v>Bildirimsiz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207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3877.7999999164604</v>
          </cell>
        </row>
        <row r="2594">
          <cell r="C2594" t="str">
            <v>TEKİRDAĞ</v>
          </cell>
          <cell r="D2594" t="str">
            <v>ÇORLU</v>
          </cell>
          <cell r="H2594" t="str">
            <v>Dağıtım-OG</v>
          </cell>
          <cell r="I2594" t="str">
            <v>Uzun</v>
          </cell>
          <cell r="J2594" t="str">
            <v>Şebeke İşletmecisi</v>
          </cell>
          <cell r="K2594" t="str">
            <v>Bildirimsiz</v>
          </cell>
          <cell r="O2594">
            <v>1</v>
          </cell>
          <cell r="P2594">
            <v>17</v>
          </cell>
          <cell r="Q2594">
            <v>0</v>
          </cell>
          <cell r="R2594">
            <v>0</v>
          </cell>
          <cell r="S2594">
            <v>1</v>
          </cell>
          <cell r="T2594">
            <v>2</v>
          </cell>
          <cell r="U2594">
            <v>18.633333330508322</v>
          </cell>
          <cell r="V2594">
            <v>316.76666661864147</v>
          </cell>
          <cell r="W2594">
            <v>0</v>
          </cell>
          <cell r="X2594">
            <v>0</v>
          </cell>
          <cell r="Y2594">
            <v>18.633333330508322</v>
          </cell>
          <cell r="Z2594">
            <v>37.266666661016643</v>
          </cell>
        </row>
        <row r="2595">
          <cell r="C2595" t="str">
            <v>TEKİRDAĞ</v>
          </cell>
          <cell r="D2595" t="str">
            <v>MARMARAEREĞLİSİ</v>
          </cell>
          <cell r="H2595" t="str">
            <v>Dağıtım-AG</v>
          </cell>
          <cell r="I2595" t="str">
            <v>Uzun</v>
          </cell>
          <cell r="J2595" t="str">
            <v>Şebeke işletmecisi</v>
          </cell>
          <cell r="K2595" t="str">
            <v>Bildirimsiz</v>
          </cell>
          <cell r="O2595">
            <v>0</v>
          </cell>
          <cell r="P2595">
            <v>0</v>
          </cell>
          <cell r="Q2595">
            <v>0</v>
          </cell>
          <cell r="R2595">
            <v>6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111.59999999916181</v>
          </cell>
          <cell r="Y2595">
            <v>0</v>
          </cell>
          <cell r="Z2595">
            <v>0</v>
          </cell>
        </row>
        <row r="2596">
          <cell r="C2596" t="str">
            <v>EDİRNE</v>
          </cell>
          <cell r="D2596" t="str">
            <v>UZUNKÖPRÜ</v>
          </cell>
          <cell r="H2596" t="str">
            <v>Dağıtım-OG</v>
          </cell>
          <cell r="I2596" t="str">
            <v>Uzun</v>
          </cell>
          <cell r="J2596" t="str">
            <v>Şebeke İşletmecisi</v>
          </cell>
          <cell r="K2596" t="str">
            <v>Bildirimsiz</v>
          </cell>
          <cell r="O2596">
            <v>1</v>
          </cell>
          <cell r="P2596">
            <v>0</v>
          </cell>
          <cell r="Q2596">
            <v>0</v>
          </cell>
          <cell r="R2596">
            <v>0</v>
          </cell>
          <cell r="S2596">
            <v>3</v>
          </cell>
          <cell r="T2596">
            <v>0</v>
          </cell>
          <cell r="U2596">
            <v>18.566666669212282</v>
          </cell>
          <cell r="V2596">
            <v>0</v>
          </cell>
          <cell r="W2596">
            <v>0</v>
          </cell>
          <cell r="X2596">
            <v>0</v>
          </cell>
          <cell r="Y2596">
            <v>55.700000007636845</v>
          </cell>
          <cell r="Z2596">
            <v>0</v>
          </cell>
        </row>
        <row r="2597">
          <cell r="C2597" t="str">
            <v>TEKİRDAĞ</v>
          </cell>
          <cell r="D2597" t="str">
            <v>MARMARAEREĞLİSİ</v>
          </cell>
          <cell r="H2597" t="str">
            <v>Dağıtım-OG</v>
          </cell>
          <cell r="I2597" t="str">
            <v>Uzun</v>
          </cell>
          <cell r="J2597" t="str">
            <v>Şebeke işletmecisi</v>
          </cell>
          <cell r="K2597" t="str">
            <v>Bildirimli</v>
          </cell>
          <cell r="O2597">
            <v>1</v>
          </cell>
          <cell r="P2597">
            <v>0</v>
          </cell>
          <cell r="Q2597">
            <v>9</v>
          </cell>
          <cell r="R2597">
            <v>0</v>
          </cell>
          <cell r="S2597">
            <v>0</v>
          </cell>
          <cell r="T2597">
            <v>0</v>
          </cell>
          <cell r="U2597">
            <v>18.549999998649582</v>
          </cell>
          <cell r="V2597">
            <v>0</v>
          </cell>
          <cell r="W2597">
            <v>166.94999998784624</v>
          </cell>
          <cell r="X2597">
            <v>0</v>
          </cell>
          <cell r="Y2597">
            <v>0</v>
          </cell>
          <cell r="Z2597">
            <v>0</v>
          </cell>
        </row>
        <row r="2598">
          <cell r="C2598" t="str">
            <v>EDİRNE</v>
          </cell>
          <cell r="D2598" t="str">
            <v>KEŞAN</v>
          </cell>
          <cell r="H2598" t="str">
            <v>Dağıtım-AG</v>
          </cell>
          <cell r="I2598" t="str">
            <v>Uzun</v>
          </cell>
          <cell r="J2598" t="str">
            <v>Şebeke işletmecisi</v>
          </cell>
          <cell r="K2598" t="str">
            <v>Bildirimsiz</v>
          </cell>
          <cell r="O2598">
            <v>0</v>
          </cell>
          <cell r="P2598">
            <v>10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185.49999998649582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</row>
        <row r="2599">
          <cell r="C2599" t="str">
            <v>KIRKLARELİ</v>
          </cell>
          <cell r="D2599" t="str">
            <v>KIRKLARELİMERKEZ</v>
          </cell>
          <cell r="H2599" t="str">
            <v>Dağıtım-OG</v>
          </cell>
          <cell r="I2599" t="str">
            <v>Uzun</v>
          </cell>
          <cell r="J2599" t="str">
            <v>Şebeke İşletmecisi</v>
          </cell>
          <cell r="K2599" t="str">
            <v>Bildirimsiz</v>
          </cell>
          <cell r="O2599">
            <v>1</v>
          </cell>
          <cell r="P2599">
            <v>4571</v>
          </cell>
          <cell r="Q2599">
            <v>0</v>
          </cell>
          <cell r="R2599">
            <v>4</v>
          </cell>
          <cell r="S2599">
            <v>0</v>
          </cell>
          <cell r="T2599">
            <v>9</v>
          </cell>
          <cell r="U2599">
            <v>18.483333337353542</v>
          </cell>
          <cell r="V2599">
            <v>84487.316685043043</v>
          </cell>
          <cell r="W2599">
            <v>0</v>
          </cell>
          <cell r="X2599">
            <v>73.93333334941417</v>
          </cell>
          <cell r="Y2599">
            <v>0</v>
          </cell>
          <cell r="Z2599">
            <v>166.35000003618188</v>
          </cell>
        </row>
        <row r="2600">
          <cell r="C2600" t="str">
            <v>TEKİRDAĞ</v>
          </cell>
          <cell r="D2600" t="str">
            <v>ÇORLU</v>
          </cell>
          <cell r="H2600" t="str">
            <v>Dağıtım-AG</v>
          </cell>
          <cell r="I2600" t="str">
            <v>Uzun</v>
          </cell>
          <cell r="J2600" t="str">
            <v>Şebeke işletmecisi</v>
          </cell>
          <cell r="K2600" t="str">
            <v>Bildirimsiz</v>
          </cell>
          <cell r="O2600">
            <v>0</v>
          </cell>
          <cell r="P2600">
            <v>1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18.466666666790843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</row>
        <row r="2601">
          <cell r="C2601" t="str">
            <v>TEKİRDAĞ</v>
          </cell>
          <cell r="D2601" t="str">
            <v>MARMARAEREĞLİSİ</v>
          </cell>
          <cell r="H2601" t="str">
            <v>Dağıtım-AG</v>
          </cell>
          <cell r="I2601" t="str">
            <v>Uzun</v>
          </cell>
          <cell r="J2601" t="str">
            <v>Şebeke işletmecisi</v>
          </cell>
          <cell r="K2601" t="str">
            <v>Bildirimsiz</v>
          </cell>
          <cell r="O2601">
            <v>0</v>
          </cell>
          <cell r="P2601">
            <v>15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276.74999994342215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</row>
        <row r="2602">
          <cell r="C2602" t="str">
            <v>KIRKLARELİ</v>
          </cell>
          <cell r="D2602" t="str">
            <v>LÜLEBURGAZ</v>
          </cell>
          <cell r="H2602" t="str">
            <v>Dağıtım-OG</v>
          </cell>
          <cell r="I2602" t="str">
            <v>Uzun</v>
          </cell>
          <cell r="J2602" t="str">
            <v>Şebeke işletmecisi</v>
          </cell>
          <cell r="K2602" t="str">
            <v>Bildirimsiz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1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18.399999995017424</v>
          </cell>
          <cell r="Z2602">
            <v>0</v>
          </cell>
        </row>
        <row r="2603">
          <cell r="C2603" t="str">
            <v>TEKİRDAĞ</v>
          </cell>
          <cell r="D2603" t="str">
            <v>SÜLEYMANPAŞA</v>
          </cell>
          <cell r="H2603" t="str">
            <v>Dağıtım-AG</v>
          </cell>
          <cell r="I2603" t="str">
            <v>Uzun</v>
          </cell>
          <cell r="J2603" t="str">
            <v>Şebeke işletmecisi</v>
          </cell>
          <cell r="K2603" t="str">
            <v>Bildirimsiz</v>
          </cell>
          <cell r="O2603">
            <v>0</v>
          </cell>
          <cell r="P2603">
            <v>24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441.59999988041818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</row>
        <row r="2604">
          <cell r="C2604" t="str">
            <v>EDİRNE</v>
          </cell>
          <cell r="D2604" t="str">
            <v>KEŞAN</v>
          </cell>
          <cell r="H2604" t="str">
            <v>Dağıtım-AG</v>
          </cell>
          <cell r="I2604" t="str">
            <v>Uzun</v>
          </cell>
          <cell r="J2604" t="str">
            <v>Şebeke işletmecisi</v>
          </cell>
          <cell r="K2604" t="str">
            <v>Bildirimsiz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2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36.700000008568168</v>
          </cell>
        </row>
        <row r="2605">
          <cell r="C2605" t="str">
            <v>TEKİRDAĞ</v>
          </cell>
          <cell r="D2605" t="str">
            <v>ÇERKEZKÖY</v>
          </cell>
          <cell r="H2605" t="str">
            <v>Dağıtım-OG</v>
          </cell>
          <cell r="I2605" t="str">
            <v>Uzun</v>
          </cell>
          <cell r="J2605" t="str">
            <v>Şebeke işletmecisi</v>
          </cell>
          <cell r="K2605" t="str">
            <v>Bildirimsiz</v>
          </cell>
          <cell r="O2605">
            <v>7</v>
          </cell>
          <cell r="P2605">
            <v>4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128.45000002998859</v>
          </cell>
          <cell r="V2605">
            <v>73.400000017136335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</row>
        <row r="2606">
          <cell r="C2606" t="str">
            <v>TEKİRDAĞ</v>
          </cell>
          <cell r="D2606" t="str">
            <v>MARMARAEREĞLİSİ</v>
          </cell>
          <cell r="H2606" t="str">
            <v>Dağıtım-AG</v>
          </cell>
          <cell r="I2606" t="str">
            <v>Uzun</v>
          </cell>
          <cell r="J2606" t="str">
            <v>Şebeke işletmecisi</v>
          </cell>
          <cell r="K2606" t="str">
            <v>Bildirimsiz</v>
          </cell>
          <cell r="O2606">
            <v>0</v>
          </cell>
          <cell r="P2606">
            <v>0</v>
          </cell>
          <cell r="Q2606">
            <v>0</v>
          </cell>
          <cell r="R2606">
            <v>1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18.333333333721384</v>
          </cell>
          <cell r="Y2606">
            <v>0</v>
          </cell>
          <cell r="Z2606">
            <v>0</v>
          </cell>
        </row>
        <row r="2607">
          <cell r="C2607" t="str">
            <v>TEKİRDAĞ</v>
          </cell>
          <cell r="D2607" t="str">
            <v>SÜLEYMANPAŞA</v>
          </cell>
          <cell r="H2607" t="str">
            <v>Dağıtım-AG</v>
          </cell>
          <cell r="I2607" t="str">
            <v>Uzun</v>
          </cell>
          <cell r="J2607" t="str">
            <v>Şebeke işletmecisi</v>
          </cell>
          <cell r="K2607" t="str">
            <v>Bildirimsiz</v>
          </cell>
          <cell r="O2607">
            <v>0</v>
          </cell>
          <cell r="P2607">
            <v>65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1190.5833337863442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</row>
        <row r="2608">
          <cell r="C2608" t="str">
            <v>KIRKLARELİ</v>
          </cell>
          <cell r="D2608" t="str">
            <v>KIRKLARELİMERKEZ</v>
          </cell>
          <cell r="H2608" t="str">
            <v>Dağıtım-OG</v>
          </cell>
          <cell r="I2608" t="str">
            <v>Uzun</v>
          </cell>
          <cell r="J2608" t="str">
            <v>Şebeke İşletmecisi</v>
          </cell>
          <cell r="K2608" t="str">
            <v>Bildirimsiz</v>
          </cell>
          <cell r="O2608">
            <v>0</v>
          </cell>
          <cell r="P2608">
            <v>3</v>
          </cell>
          <cell r="Q2608">
            <v>0</v>
          </cell>
          <cell r="R2608">
            <v>0</v>
          </cell>
          <cell r="S2608">
            <v>8</v>
          </cell>
          <cell r="T2608">
            <v>1243</v>
          </cell>
          <cell r="U2608">
            <v>0</v>
          </cell>
          <cell r="V2608">
            <v>54.950000020908192</v>
          </cell>
          <cell r="W2608">
            <v>0</v>
          </cell>
          <cell r="X2608">
            <v>0</v>
          </cell>
          <cell r="Y2608">
            <v>146.53333338908851</v>
          </cell>
          <cell r="Z2608">
            <v>22767.616675329627</v>
          </cell>
        </row>
        <row r="2609">
          <cell r="C2609" t="str">
            <v>TEKİRDAĞ</v>
          </cell>
          <cell r="D2609" t="str">
            <v>ÇERKEZKÖY</v>
          </cell>
          <cell r="H2609" t="str">
            <v>Dağıtım-OG</v>
          </cell>
          <cell r="I2609" t="str">
            <v>Uzun</v>
          </cell>
          <cell r="J2609" t="str">
            <v>Şebeke işletmecisi</v>
          </cell>
          <cell r="K2609" t="str">
            <v>Bildirimsiz</v>
          </cell>
          <cell r="O2609">
            <v>3</v>
          </cell>
          <cell r="P2609">
            <v>1317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54.800000017276034</v>
          </cell>
          <cell r="V2609">
            <v>24057.200007584179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</row>
        <row r="2610">
          <cell r="C2610" t="str">
            <v>TEKİRDAĞ</v>
          </cell>
          <cell r="D2610" t="str">
            <v>MALKARA</v>
          </cell>
          <cell r="H2610" t="str">
            <v>Dağıtım-OG</v>
          </cell>
          <cell r="I2610" t="str">
            <v>Uzun</v>
          </cell>
          <cell r="J2610" t="str">
            <v>Şebeke işletmecisi</v>
          </cell>
          <cell r="K2610" t="str">
            <v>Bildirimsiz</v>
          </cell>
          <cell r="O2610">
            <v>6</v>
          </cell>
          <cell r="P2610">
            <v>429</v>
          </cell>
          <cell r="Q2610">
            <v>1</v>
          </cell>
          <cell r="R2610">
            <v>0</v>
          </cell>
          <cell r="S2610">
            <v>0</v>
          </cell>
          <cell r="T2610">
            <v>0</v>
          </cell>
          <cell r="U2610">
            <v>109.60000003455207</v>
          </cell>
          <cell r="V2610">
            <v>7836.4000024704728</v>
          </cell>
          <cell r="W2610">
            <v>18.266666672425345</v>
          </cell>
          <cell r="X2610">
            <v>0</v>
          </cell>
          <cell r="Y2610">
            <v>0</v>
          </cell>
          <cell r="Z2610">
            <v>0</v>
          </cell>
        </row>
        <row r="2611">
          <cell r="C2611" t="str">
            <v>TEKİRDAĞ</v>
          </cell>
          <cell r="D2611" t="str">
            <v>MALKARA</v>
          </cell>
          <cell r="H2611" t="str">
            <v>Dağıtım-AG</v>
          </cell>
          <cell r="I2611" t="str">
            <v>Uzun</v>
          </cell>
          <cell r="J2611" t="str">
            <v>Şebeke işletmecisi</v>
          </cell>
          <cell r="K2611" t="str">
            <v>Bildirimsiz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32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584.5333331823349</v>
          </cell>
        </row>
        <row r="2612">
          <cell r="C2612" t="str">
            <v>EDİRNE</v>
          </cell>
          <cell r="D2612" t="str">
            <v>UZUNKÖPRÜ</v>
          </cell>
          <cell r="H2612" t="str">
            <v>Dağıtım-AG</v>
          </cell>
          <cell r="I2612" t="str">
            <v>Uzun</v>
          </cell>
          <cell r="J2612" t="str">
            <v>Şebeke işletmecisi</v>
          </cell>
          <cell r="K2612" t="str">
            <v>Bildirimsiz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74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1350.5000001378357</v>
          </cell>
        </row>
        <row r="2613">
          <cell r="C2613" t="str">
            <v>TEKİRDAĞ</v>
          </cell>
          <cell r="D2613" t="str">
            <v>KAPAKLI</v>
          </cell>
          <cell r="H2613" t="str">
            <v>Dağıtım-OG</v>
          </cell>
          <cell r="I2613" t="str">
            <v>Uzun</v>
          </cell>
          <cell r="J2613" t="str">
            <v>Şebeke İşletmecisi</v>
          </cell>
          <cell r="K2613" t="str">
            <v>Bildirimsiz</v>
          </cell>
          <cell r="O2613">
            <v>1</v>
          </cell>
          <cell r="P2613">
            <v>1118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18.183333330089226</v>
          </cell>
          <cell r="V2613">
            <v>20328.966663039755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</row>
        <row r="2614">
          <cell r="C2614" t="str">
            <v>KIRKLARELİ</v>
          </cell>
          <cell r="D2614" t="str">
            <v>KIRKLARELİMERKEZ</v>
          </cell>
          <cell r="H2614" t="str">
            <v>Dağıtım-AG</v>
          </cell>
          <cell r="I2614" t="str">
            <v>Uzun</v>
          </cell>
          <cell r="J2614" t="str">
            <v>Şebeke işletmecisi</v>
          </cell>
          <cell r="K2614" t="str">
            <v>Bildirimsiz</v>
          </cell>
          <cell r="O2614">
            <v>0</v>
          </cell>
          <cell r="P2614">
            <v>3</v>
          </cell>
          <cell r="Q2614">
            <v>0</v>
          </cell>
          <cell r="R2614">
            <v>7</v>
          </cell>
          <cell r="S2614">
            <v>0</v>
          </cell>
          <cell r="T2614">
            <v>0</v>
          </cell>
          <cell r="U2614">
            <v>0</v>
          </cell>
          <cell r="V2614">
            <v>54.399999986635521</v>
          </cell>
          <cell r="W2614">
            <v>0</v>
          </cell>
          <cell r="X2614">
            <v>126.93333330214955</v>
          </cell>
          <cell r="Y2614">
            <v>0</v>
          </cell>
          <cell r="Z2614">
            <v>0</v>
          </cell>
        </row>
        <row r="2615">
          <cell r="C2615" t="str">
            <v>TEKİRDAĞ</v>
          </cell>
          <cell r="D2615" t="str">
            <v>MARMARAEREĞLİSİ</v>
          </cell>
          <cell r="H2615" t="str">
            <v>Dağıtım-AG</v>
          </cell>
          <cell r="I2615" t="str">
            <v>Uzun</v>
          </cell>
          <cell r="J2615" t="str">
            <v>Şebeke işletmecisi</v>
          </cell>
          <cell r="K2615" t="str">
            <v>Bildirimsiz</v>
          </cell>
          <cell r="O2615">
            <v>0</v>
          </cell>
          <cell r="P2615">
            <v>0</v>
          </cell>
          <cell r="Q2615">
            <v>0</v>
          </cell>
          <cell r="R2615">
            <v>3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54.300000026123598</v>
          </cell>
          <cell r="Y2615">
            <v>0</v>
          </cell>
          <cell r="Z2615">
            <v>0</v>
          </cell>
        </row>
        <row r="2616">
          <cell r="C2616" t="str">
            <v>EDİRNE</v>
          </cell>
          <cell r="D2616" t="str">
            <v>UZUNKÖPRÜ</v>
          </cell>
          <cell r="H2616" t="str">
            <v>Dağıtım-AG</v>
          </cell>
          <cell r="I2616" t="str">
            <v>Uzun</v>
          </cell>
          <cell r="J2616" t="str">
            <v>Şebeke işletmecisi</v>
          </cell>
          <cell r="K2616" t="str">
            <v>Bildirimsiz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74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1336.9333334011026</v>
          </cell>
        </row>
        <row r="2617">
          <cell r="C2617" t="str">
            <v>TEKİRDAĞ</v>
          </cell>
          <cell r="D2617" t="str">
            <v>ÇERKEZKÖY</v>
          </cell>
          <cell r="H2617" t="str">
            <v>Dağıtım-AG</v>
          </cell>
          <cell r="I2617" t="str">
            <v>Uzun</v>
          </cell>
          <cell r="J2617" t="str">
            <v>Şebeke işletmecisi</v>
          </cell>
          <cell r="K2617" t="str">
            <v>Bildirimsiz</v>
          </cell>
          <cell r="O2617">
            <v>0</v>
          </cell>
          <cell r="P2617">
            <v>6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108.39999994263053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</row>
        <row r="2618">
          <cell r="C2618" t="str">
            <v>KIRKLARELİ</v>
          </cell>
          <cell r="D2618" t="str">
            <v>LÜLEBURGAZ</v>
          </cell>
          <cell r="H2618" t="str">
            <v>Dağıtım-AG</v>
          </cell>
          <cell r="I2618" t="str">
            <v>Uzun</v>
          </cell>
          <cell r="J2618" t="str">
            <v>Şebeke işletmecisi</v>
          </cell>
          <cell r="K2618" t="str">
            <v>Bildirimsiz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8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144.13333333097398</v>
          </cell>
        </row>
        <row r="2619">
          <cell r="C2619" t="str">
            <v>EDİRNE</v>
          </cell>
          <cell r="D2619" t="str">
            <v>EDİRNEMERKEZ</v>
          </cell>
          <cell r="H2619" t="str">
            <v>Dağıtım-AG</v>
          </cell>
          <cell r="I2619" t="str">
            <v>Uzun</v>
          </cell>
          <cell r="J2619" t="str">
            <v>Şebeke işletmecisi</v>
          </cell>
          <cell r="K2619" t="str">
            <v>Bildirimsiz</v>
          </cell>
          <cell r="O2619">
            <v>0</v>
          </cell>
          <cell r="P2619">
            <v>52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935.99999978207052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</row>
        <row r="2620">
          <cell r="C2620" t="str">
            <v>EDİRNE</v>
          </cell>
          <cell r="D2620" t="str">
            <v>EDİRNEMERKEZ</v>
          </cell>
          <cell r="H2620" t="str">
            <v>Dağıtım-AG</v>
          </cell>
          <cell r="I2620" t="str">
            <v>Uzun</v>
          </cell>
          <cell r="J2620" t="str">
            <v>Şebeke işletmecisi</v>
          </cell>
          <cell r="K2620" t="str">
            <v>Bildirimsiz</v>
          </cell>
          <cell r="O2620">
            <v>0</v>
          </cell>
          <cell r="P2620">
            <v>1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17.999999995809048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</row>
        <row r="2621">
          <cell r="C2621" t="str">
            <v>KIRKLARELİ</v>
          </cell>
          <cell r="D2621" t="str">
            <v>PINARHİSAR</v>
          </cell>
          <cell r="H2621" t="str">
            <v>Dağıtım-AG</v>
          </cell>
          <cell r="I2621" t="str">
            <v>Uzun</v>
          </cell>
          <cell r="J2621" t="str">
            <v>Şebeke işletmecisi</v>
          </cell>
          <cell r="K2621" t="str">
            <v>Bildirimsiz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3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53.999999987427145</v>
          </cell>
        </row>
        <row r="2622">
          <cell r="C2622" t="str">
            <v>EDİRNE</v>
          </cell>
          <cell r="D2622" t="str">
            <v>EDİRNEMERKEZ</v>
          </cell>
          <cell r="H2622" t="str">
            <v>Dağıtım-OG</v>
          </cell>
          <cell r="I2622" t="str">
            <v>Uzun</v>
          </cell>
          <cell r="J2622" t="str">
            <v>Şebeke işletmecisi</v>
          </cell>
          <cell r="K2622" t="str">
            <v>Bildirimsiz</v>
          </cell>
          <cell r="O2622">
            <v>3</v>
          </cell>
          <cell r="P2622">
            <v>47</v>
          </cell>
          <cell r="Q2622">
            <v>0</v>
          </cell>
          <cell r="R2622">
            <v>0</v>
          </cell>
          <cell r="S2622">
            <v>2</v>
          </cell>
          <cell r="T2622">
            <v>0</v>
          </cell>
          <cell r="U2622">
            <v>53.850000015227124</v>
          </cell>
          <cell r="V2622">
            <v>843.65000023855828</v>
          </cell>
          <cell r="W2622">
            <v>0</v>
          </cell>
          <cell r="X2622">
            <v>0</v>
          </cell>
          <cell r="Y2622">
            <v>35.900000010151416</v>
          </cell>
          <cell r="Z2622">
            <v>0</v>
          </cell>
        </row>
        <row r="2623">
          <cell r="C2623" t="str">
            <v>EDİRNE</v>
          </cell>
          <cell r="D2623" t="str">
            <v>KEŞAN</v>
          </cell>
          <cell r="H2623" t="str">
            <v>Dağıtım-AG</v>
          </cell>
          <cell r="I2623" t="str">
            <v>Uzun</v>
          </cell>
          <cell r="J2623" t="str">
            <v>Şebeke işletmecisi</v>
          </cell>
          <cell r="K2623" t="str">
            <v>Bildirimsiz</v>
          </cell>
          <cell r="O2623">
            <v>0</v>
          </cell>
          <cell r="P2623">
            <v>30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538.00000003539026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</row>
        <row r="2624">
          <cell r="C2624" t="str">
            <v>TEKİRDAĞ</v>
          </cell>
          <cell r="D2624" t="str">
            <v>SARAY</v>
          </cell>
          <cell r="H2624" t="str">
            <v>Dağıtım-OG</v>
          </cell>
          <cell r="I2624" t="str">
            <v>Uzun</v>
          </cell>
          <cell r="J2624" t="str">
            <v>Şebeke işletmecisi</v>
          </cell>
          <cell r="K2624" t="str">
            <v>Bildirimsiz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1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17.933333334513009</v>
          </cell>
          <cell r="Z2624">
            <v>0</v>
          </cell>
        </row>
        <row r="2625">
          <cell r="C2625" t="str">
            <v>TEKİRDAĞ</v>
          </cell>
          <cell r="D2625" t="str">
            <v>MARMARAEREĞLİSİ</v>
          </cell>
          <cell r="H2625" t="str">
            <v>Dağıtım-AG</v>
          </cell>
          <cell r="I2625" t="str">
            <v>Uzun</v>
          </cell>
          <cell r="J2625" t="str">
            <v>Şebeke işletmecisi</v>
          </cell>
          <cell r="K2625" t="str">
            <v>Bildirimsiz</v>
          </cell>
          <cell r="O2625">
            <v>0</v>
          </cell>
          <cell r="P2625">
            <v>31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555.93333304510452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</row>
        <row r="2626">
          <cell r="C2626" t="str">
            <v>KIRKLARELİ</v>
          </cell>
          <cell r="D2626" t="str">
            <v>PEHLİVANKÖY</v>
          </cell>
          <cell r="H2626" t="str">
            <v>Dağıtım-AG</v>
          </cell>
          <cell r="I2626" t="str">
            <v>Uzun</v>
          </cell>
          <cell r="J2626" t="str">
            <v>Şebeke işletmecisi</v>
          </cell>
          <cell r="K2626" t="str">
            <v>Bildirimsiz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30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537.50000023283064</v>
          </cell>
        </row>
        <row r="2627">
          <cell r="C2627" t="str">
            <v>TEKİRDAĞ</v>
          </cell>
          <cell r="D2627" t="str">
            <v>MARMARAEREĞLİSİ</v>
          </cell>
          <cell r="H2627" t="str">
            <v>Dağıtım-AG</v>
          </cell>
          <cell r="I2627" t="str">
            <v>Uzun</v>
          </cell>
          <cell r="J2627" t="str">
            <v>Şebeke işletmecisi</v>
          </cell>
          <cell r="K2627" t="str">
            <v>Bildirimsiz</v>
          </cell>
          <cell r="O2627">
            <v>0</v>
          </cell>
          <cell r="P2627">
            <v>11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196.89999992726371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</row>
        <row r="2628">
          <cell r="C2628" t="str">
            <v>KIRKLARELİ</v>
          </cell>
          <cell r="D2628" t="str">
            <v>KIRKLARELİMERKEZ</v>
          </cell>
          <cell r="H2628" t="str">
            <v>Dağıtım-AG</v>
          </cell>
          <cell r="I2628" t="str">
            <v>Uzun</v>
          </cell>
          <cell r="J2628" t="str">
            <v>Şebeke işletmecisi</v>
          </cell>
          <cell r="K2628" t="str">
            <v>Bildirimsiz</v>
          </cell>
          <cell r="O2628">
            <v>0</v>
          </cell>
          <cell r="P2628">
            <v>116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2066.733332737349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</row>
        <row r="2629">
          <cell r="C2629" t="str">
            <v>KIRKLARELİ</v>
          </cell>
          <cell r="D2629" t="str">
            <v>LÜLEBURGAZ</v>
          </cell>
          <cell r="H2629" t="str">
            <v>Dağıtım-AG</v>
          </cell>
          <cell r="I2629" t="str">
            <v>Uzun</v>
          </cell>
          <cell r="J2629" t="str">
            <v>Şebeke işletmecisi</v>
          </cell>
          <cell r="K2629" t="str">
            <v>Bildirimsiz</v>
          </cell>
          <cell r="O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1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17.81666666152887</v>
          </cell>
        </row>
        <row r="2630">
          <cell r="C2630" t="str">
            <v>KIRKLARELİ</v>
          </cell>
          <cell r="D2630" t="str">
            <v>VİZE</v>
          </cell>
          <cell r="H2630" t="str">
            <v>Dağıtım-OG</v>
          </cell>
          <cell r="I2630" t="str">
            <v>Uzun</v>
          </cell>
          <cell r="J2630" t="str">
            <v>Şebeke işletmecisi</v>
          </cell>
          <cell r="K2630" t="str">
            <v>Bildirimsiz</v>
          </cell>
          <cell r="O2630">
            <v>0</v>
          </cell>
          <cell r="P2630">
            <v>12</v>
          </cell>
          <cell r="Q2630">
            <v>1</v>
          </cell>
          <cell r="R2630">
            <v>0</v>
          </cell>
          <cell r="S2630">
            <v>5</v>
          </cell>
          <cell r="T2630">
            <v>683</v>
          </cell>
          <cell r="U2630">
            <v>0</v>
          </cell>
          <cell r="V2630">
            <v>213.20000004954636</v>
          </cell>
          <cell r="W2630">
            <v>17.76666667079553</v>
          </cell>
          <cell r="X2630">
            <v>0</v>
          </cell>
          <cell r="Y2630">
            <v>88.83333335397765</v>
          </cell>
          <cell r="Z2630">
            <v>12134.633336153347</v>
          </cell>
        </row>
        <row r="2631">
          <cell r="C2631" t="str">
            <v>EDİRNE</v>
          </cell>
          <cell r="D2631" t="str">
            <v>ENEZ</v>
          </cell>
          <cell r="H2631" t="str">
            <v>Dağıtım-AG</v>
          </cell>
          <cell r="I2631" t="str">
            <v>Uzun</v>
          </cell>
          <cell r="J2631" t="str">
            <v>Şebeke işletmecisi</v>
          </cell>
          <cell r="K2631" t="str">
            <v>Bildirimsiz</v>
          </cell>
          <cell r="O2631">
            <v>0</v>
          </cell>
          <cell r="P2631">
            <v>0</v>
          </cell>
          <cell r="Q2631">
            <v>0</v>
          </cell>
          <cell r="R2631">
            <v>4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71.06666668318212</v>
          </cell>
          <cell r="Y2631">
            <v>0</v>
          </cell>
          <cell r="Z2631">
            <v>0</v>
          </cell>
        </row>
        <row r="2632">
          <cell r="C2632" t="str">
            <v>TEKİRDAĞ</v>
          </cell>
          <cell r="D2632" t="str">
            <v>HAYRABOLU</v>
          </cell>
          <cell r="H2632" t="str">
            <v>Dağıtım-AG</v>
          </cell>
          <cell r="I2632" t="str">
            <v>Uzun</v>
          </cell>
          <cell r="J2632" t="str">
            <v>Şebeke işletmecisi</v>
          </cell>
          <cell r="K2632" t="str">
            <v>Bildirimsiz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6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106.50000000139698</v>
          </cell>
        </row>
        <row r="2633">
          <cell r="C2633" t="str">
            <v>KIRKLARELİ</v>
          </cell>
          <cell r="D2633" t="str">
            <v>KOFÇAZ</v>
          </cell>
          <cell r="H2633" t="str">
            <v>Dağıtım-OG</v>
          </cell>
          <cell r="I2633" t="str">
            <v>Uzun</v>
          </cell>
          <cell r="J2633" t="str">
            <v>Şebeke işletmecisi</v>
          </cell>
          <cell r="K2633" t="str">
            <v>Bildirimsiz</v>
          </cell>
          <cell r="O2633">
            <v>0</v>
          </cell>
          <cell r="P2633">
            <v>0</v>
          </cell>
          <cell r="Q2633">
            <v>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17.750000000232831</v>
          </cell>
          <cell r="X2633">
            <v>0</v>
          </cell>
          <cell r="Y2633">
            <v>0</v>
          </cell>
          <cell r="Z2633">
            <v>0</v>
          </cell>
        </row>
        <row r="2634">
          <cell r="C2634" t="str">
            <v>KIRKLARELİ</v>
          </cell>
          <cell r="D2634" t="str">
            <v>VİZE</v>
          </cell>
          <cell r="H2634" t="str">
            <v>Dağıtım-OG</v>
          </cell>
          <cell r="I2634" t="str">
            <v>Uzun</v>
          </cell>
          <cell r="J2634" t="str">
            <v>Şebeke işletmecisi</v>
          </cell>
          <cell r="K2634" t="str">
            <v>Bildirimsiz</v>
          </cell>
          <cell r="O2634">
            <v>0</v>
          </cell>
          <cell r="P2634">
            <v>0</v>
          </cell>
          <cell r="Q2634">
            <v>1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17.750000000232831</v>
          </cell>
          <cell r="X2634">
            <v>0</v>
          </cell>
          <cell r="Y2634">
            <v>0</v>
          </cell>
          <cell r="Z2634">
            <v>0</v>
          </cell>
        </row>
        <row r="2635">
          <cell r="C2635" t="str">
            <v>TEKİRDAĞ</v>
          </cell>
          <cell r="D2635" t="str">
            <v>ÇORLU</v>
          </cell>
          <cell r="H2635" t="str">
            <v>Dağıtım-OG</v>
          </cell>
          <cell r="I2635" t="str">
            <v>Uzun</v>
          </cell>
          <cell r="J2635" t="str">
            <v>Şebeke işletmecisi</v>
          </cell>
          <cell r="K2635" t="str">
            <v>Bildirimsiz</v>
          </cell>
          <cell r="O2635">
            <v>0</v>
          </cell>
          <cell r="P2635">
            <v>1</v>
          </cell>
          <cell r="Q2635">
            <v>0</v>
          </cell>
          <cell r="R2635">
            <v>0</v>
          </cell>
          <cell r="S2635">
            <v>8</v>
          </cell>
          <cell r="T2635">
            <v>442</v>
          </cell>
          <cell r="U2635">
            <v>0</v>
          </cell>
          <cell r="V2635">
            <v>17.733333329670131</v>
          </cell>
          <cell r="W2635">
            <v>0</v>
          </cell>
          <cell r="X2635">
            <v>0</v>
          </cell>
          <cell r="Y2635">
            <v>141.86666663736105</v>
          </cell>
          <cell r="Z2635">
            <v>7838.133331714198</v>
          </cell>
        </row>
        <row r="2636">
          <cell r="C2636" t="str">
            <v>TEKİRDAĞ</v>
          </cell>
          <cell r="D2636" t="str">
            <v>SARAY</v>
          </cell>
          <cell r="H2636" t="str">
            <v>Dağıtım-AG</v>
          </cell>
          <cell r="I2636" t="str">
            <v>Uzun</v>
          </cell>
          <cell r="J2636" t="str">
            <v>Şebeke işletmecisi</v>
          </cell>
          <cell r="K2636" t="str">
            <v>Bildirimsiz</v>
          </cell>
          <cell r="O2636">
            <v>0</v>
          </cell>
          <cell r="P2636">
            <v>0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17.716666659107432</v>
          </cell>
          <cell r="Y2636">
            <v>0</v>
          </cell>
          <cell r="Z2636">
            <v>0</v>
          </cell>
        </row>
        <row r="2637">
          <cell r="C2637" t="str">
            <v>KIRKLARELİ</v>
          </cell>
          <cell r="D2637" t="str">
            <v>PINARHİSAR</v>
          </cell>
          <cell r="H2637" t="str">
            <v>Dağıtım-AG</v>
          </cell>
          <cell r="I2637" t="str">
            <v>Uzun</v>
          </cell>
          <cell r="J2637" t="str">
            <v>Şebeke işletmecisi</v>
          </cell>
          <cell r="K2637" t="str">
            <v>Bildirimsiz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86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1522.1999999159016</v>
          </cell>
        </row>
        <row r="2638">
          <cell r="C2638" t="str">
            <v>EDİRNE</v>
          </cell>
          <cell r="D2638" t="str">
            <v>İPSALA</v>
          </cell>
          <cell r="H2638" t="str">
            <v>Dağıtım-OG</v>
          </cell>
          <cell r="I2638" t="str">
            <v>Uzun</v>
          </cell>
          <cell r="J2638" t="str">
            <v>Şebeke işletmecisi</v>
          </cell>
          <cell r="K2638" t="str">
            <v>Bildirimsiz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2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35.366666677873582</v>
          </cell>
          <cell r="Z2638">
            <v>0</v>
          </cell>
        </row>
        <row r="2639">
          <cell r="C2639" t="str">
            <v>TEKİRDAĞ</v>
          </cell>
          <cell r="D2639" t="str">
            <v>MARMARAEREĞLİSİ</v>
          </cell>
          <cell r="H2639" t="str">
            <v>Dağıtım-AG</v>
          </cell>
          <cell r="I2639" t="str">
            <v>Uzun</v>
          </cell>
          <cell r="J2639" t="str">
            <v>Şebeke işletmecisi</v>
          </cell>
          <cell r="K2639" t="str">
            <v>Bildirimsiz</v>
          </cell>
          <cell r="O2639">
            <v>0</v>
          </cell>
          <cell r="P2639">
            <v>0</v>
          </cell>
          <cell r="Q2639">
            <v>0</v>
          </cell>
          <cell r="R2639">
            <v>7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123.78333337255754</v>
          </cell>
          <cell r="Y2639">
            <v>0</v>
          </cell>
          <cell r="Z2639">
            <v>0</v>
          </cell>
        </row>
        <row r="2640">
          <cell r="C2640" t="str">
            <v>TEKİRDAĞ</v>
          </cell>
          <cell r="D2640" t="str">
            <v>ERGENE</v>
          </cell>
          <cell r="H2640" t="str">
            <v>Dağıtım-OG</v>
          </cell>
          <cell r="I2640" t="str">
            <v>Uzun</v>
          </cell>
          <cell r="J2640" t="str">
            <v>Şebeke İşletmecisi</v>
          </cell>
          <cell r="K2640" t="str">
            <v>Bildirimsiz</v>
          </cell>
          <cell r="O2640">
            <v>6</v>
          </cell>
          <cell r="P2640">
            <v>0</v>
          </cell>
          <cell r="Q2640">
            <v>0</v>
          </cell>
          <cell r="R2640">
            <v>0</v>
          </cell>
          <cell r="S2640">
            <v>1</v>
          </cell>
          <cell r="T2640">
            <v>0</v>
          </cell>
          <cell r="U2640">
            <v>106.09999997075647</v>
          </cell>
          <cell r="V2640">
            <v>0</v>
          </cell>
          <cell r="W2640">
            <v>0</v>
          </cell>
          <cell r="X2640">
            <v>0</v>
          </cell>
          <cell r="Y2640">
            <v>17.683333328459412</v>
          </cell>
          <cell r="Z2640">
            <v>0</v>
          </cell>
        </row>
        <row r="2641">
          <cell r="C2641" t="str">
            <v>TEKİRDAĞ</v>
          </cell>
          <cell r="D2641" t="str">
            <v>MURATLI</v>
          </cell>
          <cell r="H2641" t="str">
            <v>Dağıtım-AG</v>
          </cell>
          <cell r="I2641" t="str">
            <v>Uzun</v>
          </cell>
          <cell r="J2641" t="str">
            <v>Şebeke işletmecisi</v>
          </cell>
          <cell r="K2641" t="str">
            <v>Bildirimsiz</v>
          </cell>
          <cell r="O2641">
            <v>0</v>
          </cell>
          <cell r="P2641">
            <v>4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70.666666673496366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</row>
        <row r="2642">
          <cell r="C2642" t="str">
            <v>KIRKLARELİ</v>
          </cell>
          <cell r="D2642" t="str">
            <v>BABAESKİ</v>
          </cell>
          <cell r="H2642" t="str">
            <v>Dağıtım-AG</v>
          </cell>
          <cell r="I2642" t="str">
            <v>Uzun</v>
          </cell>
          <cell r="J2642" t="str">
            <v>Şebeke işletmecisi</v>
          </cell>
          <cell r="K2642" t="str">
            <v>Bildirimsiz</v>
          </cell>
          <cell r="O2642">
            <v>0</v>
          </cell>
          <cell r="P2642">
            <v>44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777.33333340846002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</row>
        <row r="2643">
          <cell r="C2643" t="str">
            <v>TEKİRDAĞ</v>
          </cell>
          <cell r="D2643" t="str">
            <v>MARMARAEREĞLİSİ</v>
          </cell>
          <cell r="H2643" t="str">
            <v>Dağıtım-AG</v>
          </cell>
          <cell r="I2643" t="str">
            <v>Uzun</v>
          </cell>
          <cell r="J2643" t="str">
            <v>Şebeke işletmecisi</v>
          </cell>
          <cell r="K2643" t="str">
            <v>Bildirimsiz</v>
          </cell>
          <cell r="O2643">
            <v>0</v>
          </cell>
          <cell r="P2643">
            <v>0</v>
          </cell>
          <cell r="Q2643">
            <v>0</v>
          </cell>
          <cell r="R2643">
            <v>202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3565.2999995579012</v>
          </cell>
          <cell r="Y2643">
            <v>0</v>
          </cell>
          <cell r="Z2643">
            <v>0</v>
          </cell>
        </row>
        <row r="2644">
          <cell r="C2644" t="str">
            <v>TEKİRDAĞ</v>
          </cell>
          <cell r="D2644" t="str">
            <v>HAYRABOLU</v>
          </cell>
          <cell r="H2644" t="str">
            <v>Dağıtım-AG</v>
          </cell>
          <cell r="I2644" t="str">
            <v>Uzun</v>
          </cell>
          <cell r="J2644" t="str">
            <v>Şebeke işletmecisi</v>
          </cell>
          <cell r="K2644" t="str">
            <v>Bildirimsiz</v>
          </cell>
          <cell r="O2644">
            <v>0</v>
          </cell>
          <cell r="P2644">
            <v>0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17.649999997811392</v>
          </cell>
          <cell r="Y2644">
            <v>0</v>
          </cell>
          <cell r="Z2644">
            <v>0</v>
          </cell>
        </row>
        <row r="2645">
          <cell r="C2645" t="str">
            <v>KIRKLARELİ</v>
          </cell>
          <cell r="D2645" t="str">
            <v>LÜLEBURGAZ</v>
          </cell>
          <cell r="H2645" t="str">
            <v>Dağıtım-AG</v>
          </cell>
          <cell r="I2645" t="str">
            <v>Uzun</v>
          </cell>
          <cell r="J2645" t="str">
            <v>Şebeke işletmecisi</v>
          </cell>
          <cell r="K2645" t="str">
            <v>Bildirimsiz</v>
          </cell>
          <cell r="O2645">
            <v>0</v>
          </cell>
          <cell r="P2645">
            <v>49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864.84999989275821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</row>
        <row r="2646">
          <cell r="C2646" t="str">
            <v>TEKİRDAĞ</v>
          </cell>
          <cell r="D2646" t="str">
            <v>MARMARAEREĞLİSİ</v>
          </cell>
          <cell r="H2646" t="str">
            <v>Dağıtım-AG</v>
          </cell>
          <cell r="I2646" t="str">
            <v>Uzun</v>
          </cell>
          <cell r="J2646" t="str">
            <v>Şebeke işletmecisi</v>
          </cell>
          <cell r="K2646" t="str">
            <v>Bildirimsiz</v>
          </cell>
          <cell r="O2646">
            <v>0</v>
          </cell>
          <cell r="P2646">
            <v>0</v>
          </cell>
          <cell r="Q2646">
            <v>0</v>
          </cell>
          <cell r="R2646">
            <v>9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158.69999994523823</v>
          </cell>
          <cell r="Y2646">
            <v>0</v>
          </cell>
          <cell r="Z2646">
            <v>0</v>
          </cell>
        </row>
        <row r="2647">
          <cell r="C2647" t="str">
            <v>TEKİRDAĞ</v>
          </cell>
          <cell r="D2647" t="str">
            <v>MARMARAEREĞLİSİ</v>
          </cell>
          <cell r="H2647" t="str">
            <v>Dağıtım-AG</v>
          </cell>
          <cell r="I2647" t="str">
            <v>Uzun</v>
          </cell>
          <cell r="J2647" t="str">
            <v>Şebeke işletmecisi</v>
          </cell>
          <cell r="K2647" t="str">
            <v>Bildirimsiz</v>
          </cell>
          <cell r="O2647">
            <v>0</v>
          </cell>
          <cell r="P2647">
            <v>232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4087.0666667819023</v>
          </cell>
          <cell r="W2647">
            <v>0</v>
          </cell>
          <cell r="X2647">
            <v>17.616666667163372</v>
          </cell>
          <cell r="Y2647">
            <v>0</v>
          </cell>
          <cell r="Z2647">
            <v>0</v>
          </cell>
        </row>
        <row r="2648">
          <cell r="C2648" t="str">
            <v>KIRKLARELİ</v>
          </cell>
          <cell r="D2648" t="str">
            <v>LÜLEBURGAZ</v>
          </cell>
          <cell r="H2648" t="str">
            <v>Dağıtım-AG</v>
          </cell>
          <cell r="I2648" t="str">
            <v>Uzun</v>
          </cell>
          <cell r="J2648" t="str">
            <v>Şebeke işletmecisi</v>
          </cell>
          <cell r="K2648" t="str">
            <v>Bildirimsiz</v>
          </cell>
          <cell r="O2648">
            <v>0</v>
          </cell>
          <cell r="P2648">
            <v>67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1179.1999997722451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</row>
        <row r="2649">
          <cell r="C2649" t="str">
            <v>KIRKLARELİ</v>
          </cell>
          <cell r="D2649" t="str">
            <v>VİZE</v>
          </cell>
          <cell r="H2649" t="str">
            <v>Dağıtım-AG</v>
          </cell>
          <cell r="I2649" t="str">
            <v>Uzun</v>
          </cell>
          <cell r="J2649" t="str">
            <v>Şebeke işletmecisi</v>
          </cell>
          <cell r="K2649" t="str">
            <v>Bildirimsiz</v>
          </cell>
          <cell r="O2649">
            <v>0</v>
          </cell>
          <cell r="P2649">
            <v>0</v>
          </cell>
          <cell r="Q2649">
            <v>0</v>
          </cell>
          <cell r="R2649">
            <v>37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649.96666664024815</v>
          </cell>
          <cell r="Y2649">
            <v>0</v>
          </cell>
          <cell r="Z2649">
            <v>0</v>
          </cell>
        </row>
        <row r="2650">
          <cell r="C2650" t="str">
            <v>EDİRNE</v>
          </cell>
          <cell r="D2650" t="str">
            <v>ENEZ</v>
          </cell>
          <cell r="H2650" t="str">
            <v>Dağıtım-AG</v>
          </cell>
          <cell r="I2650" t="str">
            <v>Uzun</v>
          </cell>
          <cell r="J2650" t="str">
            <v>Şebeke işletmecisi</v>
          </cell>
          <cell r="K2650" t="str">
            <v>Bildirimsiz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57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1000.3500003344379</v>
          </cell>
        </row>
        <row r="2651">
          <cell r="C2651" t="str">
            <v>EDİRNE</v>
          </cell>
          <cell r="D2651" t="str">
            <v>SÜLOĞLU</v>
          </cell>
          <cell r="H2651" t="str">
            <v>Dağıtım-AG</v>
          </cell>
          <cell r="I2651" t="str">
            <v>Uzun</v>
          </cell>
          <cell r="J2651" t="str">
            <v>Şebeke işletmecisi</v>
          </cell>
          <cell r="K2651" t="str">
            <v>Bildirimsiz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25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438.75000014668331</v>
          </cell>
        </row>
        <row r="2652">
          <cell r="C2652" t="str">
            <v>EDİRNE</v>
          </cell>
          <cell r="D2652" t="str">
            <v>KEŞAN</v>
          </cell>
          <cell r="H2652" t="str">
            <v>Dağıtım-AG</v>
          </cell>
          <cell r="I2652" t="str">
            <v>Uzun</v>
          </cell>
          <cell r="J2652" t="str">
            <v>Şebeke işletmecisi</v>
          </cell>
          <cell r="K2652" t="str">
            <v>Bildirimsiz</v>
          </cell>
          <cell r="O2652">
            <v>0</v>
          </cell>
          <cell r="P2652">
            <v>15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263.2499999308493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</row>
        <row r="2653">
          <cell r="C2653" t="str">
            <v>TEKİRDAĞ</v>
          </cell>
          <cell r="D2653" t="str">
            <v>SÜLEYMANPAŞA</v>
          </cell>
          <cell r="H2653" t="str">
            <v>Dağıtım-AG</v>
          </cell>
          <cell r="I2653" t="str">
            <v>Uzun</v>
          </cell>
          <cell r="J2653" t="str">
            <v>Şebeke işletmecisi</v>
          </cell>
          <cell r="K2653" t="str">
            <v>Bildirimsiz</v>
          </cell>
          <cell r="O2653">
            <v>0</v>
          </cell>
          <cell r="P2653">
            <v>56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981.86666677705944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</row>
        <row r="2654">
          <cell r="C2654" t="str">
            <v>KIRKLARELİ</v>
          </cell>
          <cell r="D2654" t="str">
            <v>BABAESKİ</v>
          </cell>
          <cell r="H2654" t="str">
            <v>Dağıtım-AG</v>
          </cell>
          <cell r="I2654" t="str">
            <v>Uzun</v>
          </cell>
          <cell r="J2654" t="str">
            <v>Şebeke işletmecisi</v>
          </cell>
          <cell r="K2654" t="str">
            <v>Bildirimsiz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58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1016.9333328399807</v>
          </cell>
        </row>
        <row r="2655">
          <cell r="C2655" t="str">
            <v>TEKİRDAĞ</v>
          </cell>
          <cell r="D2655" t="str">
            <v>MURATLI</v>
          </cell>
          <cell r="H2655" t="str">
            <v>Dağıtım-AG</v>
          </cell>
          <cell r="I2655" t="str">
            <v>Uzun</v>
          </cell>
          <cell r="J2655" t="str">
            <v>Şebeke işletmecisi</v>
          </cell>
          <cell r="K2655" t="str">
            <v>Bildirimsiz</v>
          </cell>
          <cell r="O2655">
            <v>0</v>
          </cell>
          <cell r="P2655">
            <v>15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262.2500000114087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</row>
        <row r="2656">
          <cell r="C2656" t="str">
            <v>EDİRNE</v>
          </cell>
          <cell r="D2656" t="str">
            <v>KEŞAN</v>
          </cell>
          <cell r="H2656" t="str">
            <v>Dağıtım-AG</v>
          </cell>
          <cell r="I2656" t="str">
            <v>Uzun</v>
          </cell>
          <cell r="J2656" t="str">
            <v>Şebeke işletmecisi</v>
          </cell>
          <cell r="K2656" t="str">
            <v>Bildirimsiz</v>
          </cell>
          <cell r="O2656">
            <v>0</v>
          </cell>
          <cell r="P2656">
            <v>5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87.416666670469567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</row>
        <row r="2657">
          <cell r="C2657" t="str">
            <v>KIRKLARELİ</v>
          </cell>
          <cell r="D2657" t="str">
            <v>KIRKLARELİMERKEZ</v>
          </cell>
          <cell r="H2657" t="str">
            <v>Dağıtım-AG</v>
          </cell>
          <cell r="I2657" t="str">
            <v>Uzun</v>
          </cell>
          <cell r="J2657" t="str">
            <v>Şebeke işletmecisi</v>
          </cell>
          <cell r="K2657" t="str">
            <v>Bildirimsiz</v>
          </cell>
          <cell r="O2657">
            <v>0</v>
          </cell>
          <cell r="P2657">
            <v>385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6705.4166690271813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</row>
        <row r="2658">
          <cell r="C2658" t="str">
            <v>EDİRNE</v>
          </cell>
          <cell r="D2658" t="str">
            <v>KEŞAN</v>
          </cell>
          <cell r="H2658" t="str">
            <v>Dağıtım-AG</v>
          </cell>
          <cell r="I2658" t="str">
            <v>Uzun</v>
          </cell>
          <cell r="J2658" t="str">
            <v>Şebeke işletmecisi</v>
          </cell>
          <cell r="K2658" t="str">
            <v>Bildirimsiz</v>
          </cell>
          <cell r="O2658">
            <v>0</v>
          </cell>
          <cell r="P2658">
            <v>43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748.91666647978127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</row>
        <row r="2659">
          <cell r="C2659" t="str">
            <v>EDİRNE</v>
          </cell>
          <cell r="D2659" t="str">
            <v>KEŞAN</v>
          </cell>
          <cell r="H2659" t="str">
            <v>Dağıtım-AG</v>
          </cell>
          <cell r="I2659" t="str">
            <v>Uzun</v>
          </cell>
          <cell r="J2659" t="str">
            <v>Şebeke işletmecisi</v>
          </cell>
          <cell r="K2659" t="str">
            <v>Bildirimsiz</v>
          </cell>
          <cell r="O2659">
            <v>0</v>
          </cell>
          <cell r="P2659">
            <v>8</v>
          </cell>
          <cell r="Q2659">
            <v>0</v>
          </cell>
          <cell r="R2659">
            <v>0</v>
          </cell>
          <cell r="S2659">
            <v>0</v>
          </cell>
          <cell r="T2659">
            <v>1</v>
          </cell>
          <cell r="U2659">
            <v>0</v>
          </cell>
          <cell r="V2659">
            <v>138.53333336301148</v>
          </cell>
          <cell r="W2659">
            <v>0</v>
          </cell>
          <cell r="X2659">
            <v>0</v>
          </cell>
          <cell r="Y2659">
            <v>0</v>
          </cell>
          <cell r="Z2659">
            <v>17.316666670376435</v>
          </cell>
        </row>
        <row r="2660">
          <cell r="C2660" t="str">
            <v>TEKİRDAĞ</v>
          </cell>
          <cell r="D2660" t="str">
            <v>SÜLEYMANPAŞA</v>
          </cell>
          <cell r="H2660" t="str">
            <v>Dağıtım-AG</v>
          </cell>
          <cell r="I2660" t="str">
            <v>Uzun</v>
          </cell>
          <cell r="J2660" t="str">
            <v>Şebeke işletmecisi</v>
          </cell>
          <cell r="K2660" t="str">
            <v>Bildirimsiz</v>
          </cell>
          <cell r="O2660">
            <v>0</v>
          </cell>
          <cell r="P2660">
            <v>10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172.83333339728415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</row>
        <row r="2661">
          <cell r="C2661" t="str">
            <v>EDİRNE</v>
          </cell>
          <cell r="D2661" t="str">
            <v>KEŞAN</v>
          </cell>
          <cell r="H2661" t="str">
            <v>Dağıtım-AG</v>
          </cell>
          <cell r="I2661" t="str">
            <v>Uzun</v>
          </cell>
          <cell r="J2661" t="str">
            <v>Şebeke işletmecisi</v>
          </cell>
          <cell r="K2661" t="str">
            <v>Bildirimsiz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37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635.16666666953824</v>
          </cell>
        </row>
        <row r="2662">
          <cell r="C2662" t="str">
            <v>KIRKLARELİ</v>
          </cell>
          <cell r="D2662" t="str">
            <v>KIRKLARELİMERKEZ</v>
          </cell>
          <cell r="H2662" t="str">
            <v>Dağıtım-OG</v>
          </cell>
          <cell r="I2662" t="str">
            <v>Uzun</v>
          </cell>
          <cell r="J2662" t="str">
            <v>Şebeke İşletmecisi</v>
          </cell>
          <cell r="K2662" t="str">
            <v>Bildirimsiz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2</v>
          </cell>
          <cell r="T2662">
            <v>129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34.333333333488554</v>
          </cell>
          <cell r="Z2662">
            <v>2214.5000000100117</v>
          </cell>
        </row>
        <row r="2663">
          <cell r="C2663" t="str">
            <v>KIRKLARELİ</v>
          </cell>
          <cell r="D2663" t="str">
            <v>PEHLİVANKÖY</v>
          </cell>
          <cell r="H2663" t="str">
            <v>Dağıtım-AG</v>
          </cell>
          <cell r="I2663" t="str">
            <v>Uzun</v>
          </cell>
          <cell r="J2663" t="str">
            <v>Şebeke işletmecisi</v>
          </cell>
          <cell r="K2663" t="str">
            <v>Bildirimsiz</v>
          </cell>
          <cell r="O2663">
            <v>0</v>
          </cell>
          <cell r="P2663">
            <v>0</v>
          </cell>
          <cell r="Q2663">
            <v>0</v>
          </cell>
          <cell r="R2663">
            <v>9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154.50000000069849</v>
          </cell>
          <cell r="Y2663">
            <v>0</v>
          </cell>
          <cell r="Z2663">
            <v>0</v>
          </cell>
        </row>
        <row r="2664">
          <cell r="C2664" t="str">
            <v>KIRKLARELİ</v>
          </cell>
          <cell r="D2664" t="str">
            <v>LÜLEBURGAZ</v>
          </cell>
          <cell r="H2664" t="str">
            <v>Dağıtım-OG</v>
          </cell>
          <cell r="I2664" t="str">
            <v>Uzun</v>
          </cell>
          <cell r="J2664" t="str">
            <v>Şebeke İşletmecisi</v>
          </cell>
          <cell r="K2664" t="str">
            <v>Bildirimsiz</v>
          </cell>
          <cell r="O2664">
            <v>1</v>
          </cell>
          <cell r="P2664">
            <v>0</v>
          </cell>
          <cell r="Q2664">
            <v>0</v>
          </cell>
          <cell r="R2664">
            <v>0</v>
          </cell>
          <cell r="S2664">
            <v>9</v>
          </cell>
          <cell r="T2664">
            <v>669</v>
          </cell>
          <cell r="U2664">
            <v>17.166666666744277</v>
          </cell>
          <cell r="V2664">
            <v>0</v>
          </cell>
          <cell r="W2664">
            <v>0</v>
          </cell>
          <cell r="X2664">
            <v>0</v>
          </cell>
          <cell r="Y2664">
            <v>154.50000000069849</v>
          </cell>
          <cell r="Z2664">
            <v>11484.500000051921</v>
          </cell>
        </row>
        <row r="2665">
          <cell r="C2665" t="str">
            <v>TEKİRDAĞ</v>
          </cell>
          <cell r="D2665" t="str">
            <v>ŞARKÖY</v>
          </cell>
          <cell r="H2665" t="str">
            <v>Dağıtım-OG</v>
          </cell>
          <cell r="I2665" t="str">
            <v>Uzun</v>
          </cell>
          <cell r="J2665" t="str">
            <v>Şebeke işletmecisi</v>
          </cell>
          <cell r="K2665" t="str">
            <v>Bildirimsiz</v>
          </cell>
          <cell r="O2665">
            <v>0</v>
          </cell>
          <cell r="P2665">
            <v>0</v>
          </cell>
          <cell r="Q2665">
            <v>0</v>
          </cell>
          <cell r="R2665">
            <v>86</v>
          </cell>
          <cell r="S2665">
            <v>0</v>
          </cell>
          <cell r="T2665">
            <v>512</v>
          </cell>
          <cell r="U2665">
            <v>0</v>
          </cell>
          <cell r="V2665">
            <v>0</v>
          </cell>
          <cell r="W2665">
            <v>0</v>
          </cell>
          <cell r="X2665">
            <v>1473.4666660032235</v>
          </cell>
          <cell r="Y2665">
            <v>0</v>
          </cell>
          <cell r="Z2665">
            <v>8772.2666627168655</v>
          </cell>
        </row>
        <row r="2666">
          <cell r="C2666" t="str">
            <v>KIRKLARELİ</v>
          </cell>
          <cell r="D2666" t="str">
            <v>PINARHİSAR</v>
          </cell>
          <cell r="H2666" t="str">
            <v>Dağıtım-OG</v>
          </cell>
          <cell r="I2666" t="str">
            <v>Uzun</v>
          </cell>
          <cell r="J2666" t="str">
            <v>Şebeke işletmecisi</v>
          </cell>
          <cell r="K2666" t="str">
            <v>Bildirimsiz</v>
          </cell>
          <cell r="O2666">
            <v>0</v>
          </cell>
          <cell r="P2666">
            <v>0</v>
          </cell>
          <cell r="Q2666">
            <v>12</v>
          </cell>
          <cell r="R2666">
            <v>5</v>
          </cell>
          <cell r="S2666">
            <v>64</v>
          </cell>
          <cell r="T2666">
            <v>5170</v>
          </cell>
          <cell r="U2666">
            <v>0</v>
          </cell>
          <cell r="V2666">
            <v>0</v>
          </cell>
          <cell r="W2666">
            <v>205.39999998640269</v>
          </cell>
          <cell r="X2666">
            <v>85.583333327667788</v>
          </cell>
          <cell r="Y2666">
            <v>1095.4666665941477</v>
          </cell>
          <cell r="Z2666">
            <v>88493.166660808492</v>
          </cell>
        </row>
        <row r="2667">
          <cell r="C2667" t="str">
            <v>EDİRNE</v>
          </cell>
          <cell r="D2667" t="str">
            <v>UZUNKÖPRÜ</v>
          </cell>
          <cell r="H2667" t="str">
            <v>Dağıtım-OG</v>
          </cell>
          <cell r="I2667" t="str">
            <v>Uzun</v>
          </cell>
          <cell r="J2667" t="str">
            <v>Şebeke İşletmecisi</v>
          </cell>
          <cell r="K2667" t="str">
            <v>Bildirimsiz</v>
          </cell>
          <cell r="O2667">
            <v>2</v>
          </cell>
          <cell r="P2667">
            <v>10</v>
          </cell>
          <cell r="Q2667">
            <v>0</v>
          </cell>
          <cell r="R2667">
            <v>0</v>
          </cell>
          <cell r="S2667">
            <v>5</v>
          </cell>
          <cell r="T2667">
            <v>1003</v>
          </cell>
          <cell r="U2667">
            <v>34.100000008475035</v>
          </cell>
          <cell r="V2667">
            <v>170.50000004237518</v>
          </cell>
          <cell r="W2667">
            <v>0</v>
          </cell>
          <cell r="X2667">
            <v>0</v>
          </cell>
          <cell r="Y2667">
            <v>85.250000021187589</v>
          </cell>
          <cell r="Z2667">
            <v>17101.15000425023</v>
          </cell>
        </row>
        <row r="2668">
          <cell r="C2668" t="str">
            <v>KIRKLARELİ</v>
          </cell>
          <cell r="D2668" t="str">
            <v>KIRKLARELİMERKEZ</v>
          </cell>
          <cell r="H2668" t="str">
            <v>Dağıtım-AG</v>
          </cell>
          <cell r="I2668" t="str">
            <v>Uzun</v>
          </cell>
          <cell r="J2668" t="str">
            <v>Şebeke işletmecisi</v>
          </cell>
          <cell r="K2668" t="str">
            <v>Bildirimsiz</v>
          </cell>
          <cell r="O2668">
            <v>0</v>
          </cell>
          <cell r="P2668">
            <v>43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733.14999973168597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</row>
        <row r="2669">
          <cell r="C2669" t="str">
            <v>KIRKLARELİ</v>
          </cell>
          <cell r="D2669" t="str">
            <v>KIRKLARELİMERKEZ</v>
          </cell>
          <cell r="H2669" t="str">
            <v>Dağıtım-AG</v>
          </cell>
          <cell r="I2669" t="str">
            <v>Uzun</v>
          </cell>
          <cell r="J2669" t="str">
            <v>Şebeke işletmecisi</v>
          </cell>
          <cell r="K2669" t="str">
            <v>Bildirimsiz</v>
          </cell>
          <cell r="O2669">
            <v>0</v>
          </cell>
          <cell r="P2669">
            <v>132</v>
          </cell>
          <cell r="Q2669">
            <v>0</v>
          </cell>
          <cell r="R2669">
            <v>1</v>
          </cell>
          <cell r="S2669">
            <v>0</v>
          </cell>
          <cell r="T2669">
            <v>0</v>
          </cell>
          <cell r="U2669">
            <v>0</v>
          </cell>
          <cell r="V2669">
            <v>2248.400000045076</v>
          </cell>
          <cell r="W2669">
            <v>0</v>
          </cell>
          <cell r="X2669">
            <v>17.033333333674818</v>
          </cell>
          <cell r="Y2669">
            <v>0</v>
          </cell>
          <cell r="Z2669">
            <v>0</v>
          </cell>
        </row>
        <row r="2670">
          <cell r="C2670" t="str">
            <v>EDİRNE</v>
          </cell>
          <cell r="D2670" t="str">
            <v>MERİÇ</v>
          </cell>
          <cell r="H2670" t="str">
            <v>Dağıtım-OG</v>
          </cell>
          <cell r="I2670" t="str">
            <v>Uzun</v>
          </cell>
          <cell r="J2670" t="str">
            <v>Şebeke İşletmecisi</v>
          </cell>
          <cell r="K2670" t="str">
            <v>Bildirimsiz</v>
          </cell>
          <cell r="O2670">
            <v>0</v>
          </cell>
          <cell r="P2670">
            <v>0</v>
          </cell>
          <cell r="Q2670">
            <v>0</v>
          </cell>
          <cell r="R2670">
            <v>889</v>
          </cell>
          <cell r="S2670">
            <v>11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15142.633333636913</v>
          </cell>
          <cell r="Y2670">
            <v>187.366666670423</v>
          </cell>
          <cell r="Z2670">
            <v>0</v>
          </cell>
        </row>
        <row r="2671">
          <cell r="C2671" t="str">
            <v>KIRKLARELİ</v>
          </cell>
          <cell r="D2671" t="str">
            <v>LÜLEBURGAZ</v>
          </cell>
          <cell r="H2671" t="str">
            <v>Dağıtım-OG</v>
          </cell>
          <cell r="I2671" t="str">
            <v>Uzun</v>
          </cell>
          <cell r="J2671" t="str">
            <v>Şebeke İşletmecisi</v>
          </cell>
          <cell r="K2671" t="str">
            <v>Bildirimsiz</v>
          </cell>
          <cell r="O2671">
            <v>1</v>
          </cell>
          <cell r="P2671">
            <v>0</v>
          </cell>
          <cell r="Q2671">
            <v>0</v>
          </cell>
          <cell r="R2671">
            <v>0</v>
          </cell>
          <cell r="S2671">
            <v>14</v>
          </cell>
          <cell r="T2671">
            <v>372</v>
          </cell>
          <cell r="U2671">
            <v>16.999999992549419</v>
          </cell>
          <cell r="V2671">
            <v>0</v>
          </cell>
          <cell r="W2671">
            <v>0</v>
          </cell>
          <cell r="X2671">
            <v>0</v>
          </cell>
          <cell r="Y2671">
            <v>237.99999989569187</v>
          </cell>
          <cell r="Z2671">
            <v>6323.999997228384</v>
          </cell>
        </row>
        <row r="2672">
          <cell r="C2672" t="str">
            <v>EDİRNE</v>
          </cell>
          <cell r="D2672" t="str">
            <v>EDİRNEMERKEZ</v>
          </cell>
          <cell r="H2672" t="str">
            <v>Dağıtım-OG</v>
          </cell>
          <cell r="I2672" t="str">
            <v>Uzun</v>
          </cell>
          <cell r="J2672" t="str">
            <v>Şebeke işletmecisi</v>
          </cell>
          <cell r="K2672" t="str">
            <v>Bildirimsiz</v>
          </cell>
          <cell r="O2672">
            <v>7</v>
          </cell>
          <cell r="P2672">
            <v>48</v>
          </cell>
          <cell r="Q2672">
            <v>0</v>
          </cell>
          <cell r="R2672">
            <v>0</v>
          </cell>
          <cell r="S2672">
            <v>2</v>
          </cell>
          <cell r="T2672">
            <v>0</v>
          </cell>
          <cell r="U2672">
            <v>118.41666669817641</v>
          </cell>
          <cell r="V2672">
            <v>812.00000021606684</v>
          </cell>
          <cell r="W2672">
            <v>0</v>
          </cell>
          <cell r="X2672">
            <v>0</v>
          </cell>
          <cell r="Y2672">
            <v>33.833333342336118</v>
          </cell>
          <cell r="Z2672">
            <v>0</v>
          </cell>
        </row>
        <row r="2673">
          <cell r="C2673" t="str">
            <v>EDİRNE</v>
          </cell>
          <cell r="D2673" t="str">
            <v>KEŞAN</v>
          </cell>
          <cell r="H2673" t="str">
            <v>Dağıtım-AG</v>
          </cell>
          <cell r="I2673" t="str">
            <v>Uzun</v>
          </cell>
          <cell r="J2673" t="str">
            <v>Şebeke işletmecisi</v>
          </cell>
          <cell r="K2673" t="str">
            <v>Bildirimsiz</v>
          </cell>
          <cell r="O2673">
            <v>0</v>
          </cell>
          <cell r="P2673">
            <v>34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575.16666681971401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</row>
        <row r="2674">
          <cell r="C2674" t="str">
            <v>KIRKLARELİ</v>
          </cell>
          <cell r="D2674" t="str">
            <v>LÜLEBURGAZ</v>
          </cell>
          <cell r="H2674" t="str">
            <v>Dağıtım-AG</v>
          </cell>
          <cell r="I2674" t="str">
            <v>Uzun</v>
          </cell>
          <cell r="J2674" t="str">
            <v>Şebeke işletmecisi</v>
          </cell>
          <cell r="K2674" t="str">
            <v>Bildirimsiz</v>
          </cell>
          <cell r="O2674">
            <v>0</v>
          </cell>
          <cell r="P2674">
            <v>1</v>
          </cell>
          <cell r="Q2674">
            <v>0</v>
          </cell>
          <cell r="R2674">
            <v>0</v>
          </cell>
          <cell r="S2674">
            <v>0</v>
          </cell>
          <cell r="T2674">
            <v>2</v>
          </cell>
          <cell r="U2674">
            <v>0</v>
          </cell>
          <cell r="V2674">
            <v>16.90000000060536</v>
          </cell>
          <cell r="W2674">
            <v>0</v>
          </cell>
          <cell r="X2674">
            <v>0</v>
          </cell>
          <cell r="Y2674">
            <v>0</v>
          </cell>
          <cell r="Z2674">
            <v>33.800000001210719</v>
          </cell>
        </row>
        <row r="2675">
          <cell r="C2675" t="str">
            <v>TEKİRDAĞ</v>
          </cell>
          <cell r="D2675" t="str">
            <v>ERGENE</v>
          </cell>
          <cell r="H2675" t="str">
            <v>Dağıtım-OG</v>
          </cell>
          <cell r="I2675" t="str">
            <v>Uzun</v>
          </cell>
          <cell r="J2675" t="str">
            <v>Şebeke işletmecisi</v>
          </cell>
          <cell r="K2675" t="str">
            <v>Bildirimsiz</v>
          </cell>
          <cell r="O2675">
            <v>12</v>
          </cell>
          <cell r="P2675">
            <v>262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202.39999991375953</v>
          </cell>
          <cell r="V2675">
            <v>4419.0666647837497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</row>
        <row r="2676">
          <cell r="C2676" t="str">
            <v>KIRKLARELİ</v>
          </cell>
          <cell r="D2676" t="str">
            <v>LÜLEBURGAZ</v>
          </cell>
          <cell r="H2676" t="str">
            <v>Dağıtım-OG</v>
          </cell>
          <cell r="I2676" t="str">
            <v>Uzun</v>
          </cell>
          <cell r="J2676" t="str">
            <v>Şebeke işletmecisi</v>
          </cell>
          <cell r="K2676" t="str">
            <v>Bildirimsiz</v>
          </cell>
          <cell r="O2676">
            <v>1</v>
          </cell>
          <cell r="P2676">
            <v>0</v>
          </cell>
          <cell r="Q2676">
            <v>0</v>
          </cell>
          <cell r="R2676">
            <v>0</v>
          </cell>
          <cell r="S2676">
            <v>22</v>
          </cell>
          <cell r="T2676">
            <v>372</v>
          </cell>
          <cell r="U2676">
            <v>16.866666659479961</v>
          </cell>
          <cell r="V2676">
            <v>0</v>
          </cell>
          <cell r="W2676">
            <v>0</v>
          </cell>
          <cell r="X2676">
            <v>0</v>
          </cell>
          <cell r="Y2676">
            <v>371.06666650855914</v>
          </cell>
          <cell r="Z2676">
            <v>6274.3999973265454</v>
          </cell>
        </row>
        <row r="2677">
          <cell r="C2677" t="str">
            <v>KIRKLARELİ</v>
          </cell>
          <cell r="D2677" t="str">
            <v>BABAESKİ</v>
          </cell>
          <cell r="H2677" t="str">
            <v>Dağıtım-AG</v>
          </cell>
          <cell r="I2677" t="str">
            <v>Uzun</v>
          </cell>
          <cell r="J2677" t="str">
            <v>Şebeke işletmecisi</v>
          </cell>
          <cell r="K2677" t="str">
            <v>Bildirimsiz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16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269.59999999031425</v>
          </cell>
        </row>
        <row r="2678">
          <cell r="C2678" t="str">
            <v>EDİRNE</v>
          </cell>
          <cell r="D2678" t="str">
            <v>EDİRNEMERKEZ</v>
          </cell>
          <cell r="H2678" t="str">
            <v>Dağıtım-OG</v>
          </cell>
          <cell r="I2678" t="str">
            <v>Uzun</v>
          </cell>
          <cell r="J2678" t="str">
            <v>Şebeke işletmecisi</v>
          </cell>
          <cell r="K2678" t="str">
            <v>Bildirimsiz</v>
          </cell>
          <cell r="O2678">
            <v>13</v>
          </cell>
          <cell r="P2678">
            <v>0</v>
          </cell>
          <cell r="Q2678">
            <v>0</v>
          </cell>
          <cell r="R2678">
            <v>0</v>
          </cell>
          <cell r="S2678">
            <v>4</v>
          </cell>
          <cell r="T2678">
            <v>0</v>
          </cell>
          <cell r="U2678">
            <v>217.96666667796671</v>
          </cell>
          <cell r="V2678">
            <v>0</v>
          </cell>
          <cell r="W2678">
            <v>0</v>
          </cell>
          <cell r="X2678">
            <v>0</v>
          </cell>
          <cell r="Y2678">
            <v>67.066666670143604</v>
          </cell>
          <cell r="Z2678">
            <v>0</v>
          </cell>
        </row>
        <row r="2679">
          <cell r="C2679" t="str">
            <v>EDİRNE</v>
          </cell>
          <cell r="D2679" t="str">
            <v>KEŞAN</v>
          </cell>
          <cell r="H2679" t="str">
            <v>Dağıtım-AG</v>
          </cell>
          <cell r="I2679" t="str">
            <v>Uzun</v>
          </cell>
          <cell r="J2679" t="str">
            <v>Şebeke işletmecisi</v>
          </cell>
          <cell r="K2679" t="str">
            <v>Bildirimsiz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1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16.766666667535901</v>
          </cell>
        </row>
        <row r="2680">
          <cell r="C2680" t="str">
            <v>EDİRNE</v>
          </cell>
          <cell r="D2680" t="str">
            <v>UZUNKÖPRÜ</v>
          </cell>
          <cell r="H2680" t="str">
            <v>Dağıtım-OG</v>
          </cell>
          <cell r="I2680" t="str">
            <v>Uzun</v>
          </cell>
          <cell r="J2680" t="str">
            <v>Şebeke İşletmecisi</v>
          </cell>
          <cell r="K2680" t="str">
            <v>Bildirimsiz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16</v>
          </cell>
          <cell r="T2680">
            <v>2737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268.00000011920929</v>
          </cell>
          <cell r="Z2680">
            <v>45844.750020392239</v>
          </cell>
        </row>
        <row r="2681">
          <cell r="C2681" t="str">
            <v>TEKİRDAĞ</v>
          </cell>
          <cell r="D2681" t="str">
            <v>MARMARAEREĞLİSİ</v>
          </cell>
          <cell r="H2681" t="str">
            <v>Dağıtım-AG</v>
          </cell>
          <cell r="I2681" t="str">
            <v>Uzun</v>
          </cell>
          <cell r="J2681" t="str">
            <v>Şebeke işletmecisi</v>
          </cell>
          <cell r="K2681" t="str">
            <v>Bildirimsiz</v>
          </cell>
          <cell r="O2681">
            <v>0</v>
          </cell>
          <cell r="P2681">
            <v>3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49.999999995343387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</row>
        <row r="2682">
          <cell r="C2682" t="str">
            <v>KIRKLARELİ</v>
          </cell>
          <cell r="D2682" t="str">
            <v>PEHLİVANKÖY</v>
          </cell>
          <cell r="H2682" t="str">
            <v>Dağıtım-AG</v>
          </cell>
          <cell r="I2682" t="str">
            <v>Uzun</v>
          </cell>
          <cell r="J2682" t="str">
            <v>Şebeke işletmecisi</v>
          </cell>
          <cell r="K2682" t="str">
            <v>Bildirimsiz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1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16.666666665114462</v>
          </cell>
        </row>
        <row r="2683">
          <cell r="C2683" t="str">
            <v>EDİRNE</v>
          </cell>
          <cell r="D2683" t="str">
            <v>UZUNKÖPRÜ</v>
          </cell>
          <cell r="H2683" t="str">
            <v>Dağıtım-AG</v>
          </cell>
          <cell r="I2683" t="str">
            <v>Uzun</v>
          </cell>
          <cell r="J2683" t="str">
            <v>Şebeke işletmecisi</v>
          </cell>
          <cell r="K2683" t="str">
            <v>Bildirimsiz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64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1064.5333334058523</v>
          </cell>
        </row>
        <row r="2684">
          <cell r="C2684" t="str">
            <v>EDİRNE</v>
          </cell>
          <cell r="D2684" t="str">
            <v>EDİRNEMERKEZ</v>
          </cell>
          <cell r="H2684" t="str">
            <v>Dağıtım-AG</v>
          </cell>
          <cell r="I2684" t="str">
            <v>Uzun</v>
          </cell>
          <cell r="J2684" t="str">
            <v>Şebeke işletmecisi</v>
          </cell>
          <cell r="K2684" t="str">
            <v>Bildirimsiz</v>
          </cell>
          <cell r="O2684">
            <v>0</v>
          </cell>
          <cell r="P2684">
            <v>347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5765.9833323745988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</row>
        <row r="2685">
          <cell r="C2685" t="str">
            <v>EDİRNE</v>
          </cell>
          <cell r="D2685" t="str">
            <v>KEŞAN</v>
          </cell>
          <cell r="H2685" t="str">
            <v>Dağıtım-OG</v>
          </cell>
          <cell r="I2685" t="str">
            <v>Uzun</v>
          </cell>
          <cell r="J2685" t="str">
            <v>Şebeke İşletmecisi</v>
          </cell>
          <cell r="K2685" t="str">
            <v>Bildirimsiz</v>
          </cell>
          <cell r="O2685">
            <v>1</v>
          </cell>
          <cell r="P2685">
            <v>433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16.616666663903743</v>
          </cell>
          <cell r="V2685">
            <v>7195.0166654703207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</row>
        <row r="2686">
          <cell r="C2686" t="str">
            <v>TEKİRDAĞ</v>
          </cell>
          <cell r="D2686" t="str">
            <v>ERGENE</v>
          </cell>
          <cell r="H2686" t="str">
            <v>Dağıtım-AG</v>
          </cell>
          <cell r="I2686" t="str">
            <v>Uzun</v>
          </cell>
          <cell r="J2686" t="str">
            <v>Şebeke işletmecisi</v>
          </cell>
          <cell r="K2686" t="str">
            <v>Bildirimsiz</v>
          </cell>
          <cell r="O2686">
            <v>0</v>
          </cell>
          <cell r="P2686">
            <v>64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1062.3999995738268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</row>
        <row r="2687">
          <cell r="C2687" t="str">
            <v>EDİRNE</v>
          </cell>
          <cell r="D2687" t="str">
            <v>HAVSA</v>
          </cell>
          <cell r="H2687" t="str">
            <v>Dağıtım-OG</v>
          </cell>
          <cell r="I2687" t="str">
            <v>Uzun</v>
          </cell>
          <cell r="J2687" t="str">
            <v>Şebeke İşletmecisi</v>
          </cell>
          <cell r="K2687" t="str">
            <v>Bildirimsiz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172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2852.3333333199844</v>
          </cell>
        </row>
        <row r="2688">
          <cell r="C2688" t="str">
            <v>TEKİRDAĞ</v>
          </cell>
          <cell r="D2688" t="str">
            <v>MARMARAEREĞLİSİ</v>
          </cell>
          <cell r="H2688" t="str">
            <v>Dağıtım-AG</v>
          </cell>
          <cell r="I2688" t="str">
            <v>Uzun</v>
          </cell>
          <cell r="J2688" t="str">
            <v>Şebeke işletmecisi</v>
          </cell>
          <cell r="K2688" t="str">
            <v>Bildirimsiz</v>
          </cell>
          <cell r="O2688">
            <v>0</v>
          </cell>
          <cell r="P2688">
            <v>74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1223.4666665713303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</row>
        <row r="2689">
          <cell r="C2689" t="str">
            <v>EDİRNE</v>
          </cell>
          <cell r="D2689" t="str">
            <v>ENEZ</v>
          </cell>
          <cell r="H2689" t="str">
            <v>Dağıtım-OG</v>
          </cell>
          <cell r="I2689" t="str">
            <v>Uzun</v>
          </cell>
          <cell r="J2689" t="str">
            <v>Şebeke İşletmecisi</v>
          </cell>
          <cell r="K2689" t="str">
            <v>Bildirimsiz</v>
          </cell>
          <cell r="O2689">
            <v>0</v>
          </cell>
          <cell r="P2689">
            <v>0</v>
          </cell>
          <cell r="Q2689">
            <v>1</v>
          </cell>
          <cell r="R2689">
            <v>0</v>
          </cell>
          <cell r="S2689">
            <v>1</v>
          </cell>
          <cell r="T2689">
            <v>0</v>
          </cell>
          <cell r="U2689">
            <v>0</v>
          </cell>
          <cell r="V2689">
            <v>0</v>
          </cell>
          <cell r="W2689">
            <v>16.516666671959683</v>
          </cell>
          <cell r="X2689">
            <v>0</v>
          </cell>
          <cell r="Y2689">
            <v>16.516666671959683</v>
          </cell>
          <cell r="Z2689">
            <v>0</v>
          </cell>
        </row>
        <row r="2690">
          <cell r="C2690" t="str">
            <v>KIRKLARELİ</v>
          </cell>
          <cell r="D2690" t="str">
            <v>VİZE</v>
          </cell>
          <cell r="H2690" t="str">
            <v>Dağıtım-AG</v>
          </cell>
          <cell r="I2690" t="str">
            <v>Uzun</v>
          </cell>
          <cell r="J2690" t="str">
            <v>Şebeke işletmecisi</v>
          </cell>
          <cell r="K2690" t="str">
            <v>Bildirimsiz</v>
          </cell>
          <cell r="O2690">
            <v>0</v>
          </cell>
          <cell r="P2690">
            <v>0</v>
          </cell>
          <cell r="Q2690">
            <v>0</v>
          </cell>
          <cell r="R2690">
            <v>13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214.71666673547588</v>
          </cell>
          <cell r="Y2690">
            <v>0</v>
          </cell>
          <cell r="Z2690">
            <v>0</v>
          </cell>
        </row>
        <row r="2691">
          <cell r="C2691" t="str">
            <v>KIRKLARELİ</v>
          </cell>
          <cell r="D2691" t="str">
            <v>PINARHİSAR</v>
          </cell>
          <cell r="H2691" t="str">
            <v>Dağıtım-OG</v>
          </cell>
          <cell r="I2691" t="str">
            <v>Uzun</v>
          </cell>
          <cell r="J2691" t="str">
            <v>Şebeke İşletmecisi</v>
          </cell>
          <cell r="K2691" t="str">
            <v>Bildirimsiz</v>
          </cell>
          <cell r="O2691">
            <v>0</v>
          </cell>
          <cell r="P2691">
            <v>0</v>
          </cell>
          <cell r="Q2691">
            <v>6</v>
          </cell>
          <cell r="R2691">
            <v>0</v>
          </cell>
          <cell r="S2691">
            <v>15</v>
          </cell>
          <cell r="T2691">
            <v>1888</v>
          </cell>
          <cell r="U2691">
            <v>0</v>
          </cell>
          <cell r="V2691">
            <v>0</v>
          </cell>
          <cell r="W2691">
            <v>99.099999968893826</v>
          </cell>
          <cell r="X2691">
            <v>0</v>
          </cell>
          <cell r="Y2691">
            <v>247.74999992223457</v>
          </cell>
          <cell r="Z2691">
            <v>31183.466656878591</v>
          </cell>
        </row>
        <row r="2692">
          <cell r="C2692" t="str">
            <v>TEKİRDAĞ</v>
          </cell>
          <cell r="D2692" t="str">
            <v>ŞARKÖY</v>
          </cell>
          <cell r="H2692" t="str">
            <v>Dağıtım-OG</v>
          </cell>
          <cell r="I2692" t="str">
            <v>Uzun</v>
          </cell>
          <cell r="J2692" t="str">
            <v>Şebeke İşletmecisi</v>
          </cell>
          <cell r="K2692" t="str">
            <v>Bildirimsiz</v>
          </cell>
          <cell r="O2692">
            <v>0</v>
          </cell>
          <cell r="P2692">
            <v>0</v>
          </cell>
          <cell r="Q2692">
            <v>0</v>
          </cell>
          <cell r="R2692">
            <v>86</v>
          </cell>
          <cell r="S2692">
            <v>0</v>
          </cell>
          <cell r="T2692">
            <v>512</v>
          </cell>
          <cell r="U2692">
            <v>0</v>
          </cell>
          <cell r="V2692">
            <v>0</v>
          </cell>
          <cell r="W2692">
            <v>0</v>
          </cell>
          <cell r="X2692">
            <v>1419.0000001201406</v>
          </cell>
          <cell r="Y2692">
            <v>0</v>
          </cell>
          <cell r="Z2692">
            <v>8448.0000007152557</v>
          </cell>
        </row>
        <row r="2693">
          <cell r="C2693" t="str">
            <v>TEKİRDAĞ</v>
          </cell>
          <cell r="D2693" t="str">
            <v>MARMARAEREĞLİSİ</v>
          </cell>
          <cell r="H2693" t="str">
            <v>Dağıtım-OG</v>
          </cell>
          <cell r="I2693" t="str">
            <v>Uzun</v>
          </cell>
          <cell r="J2693" t="str">
            <v>Şebeke işletmecisi</v>
          </cell>
          <cell r="K2693" t="str">
            <v>Bildirimli</v>
          </cell>
          <cell r="O2693">
            <v>15</v>
          </cell>
          <cell r="P2693">
            <v>16931</v>
          </cell>
          <cell r="Q2693">
            <v>4</v>
          </cell>
          <cell r="R2693">
            <v>5005</v>
          </cell>
          <cell r="S2693">
            <v>0</v>
          </cell>
          <cell r="T2693">
            <v>3</v>
          </cell>
          <cell r="U2693">
            <v>247.50000002095476</v>
          </cell>
          <cell r="V2693">
            <v>279361.50002365233</v>
          </cell>
          <cell r="W2693">
            <v>66.000000005587935</v>
          </cell>
          <cell r="X2693">
            <v>82582.500006991904</v>
          </cell>
          <cell r="Y2693">
            <v>0</v>
          </cell>
          <cell r="Z2693">
            <v>49.500000004190952</v>
          </cell>
        </row>
        <row r="2694">
          <cell r="C2694" t="str">
            <v>TEKİRDAĞ</v>
          </cell>
          <cell r="D2694" t="str">
            <v>KAPAKLI</v>
          </cell>
          <cell r="H2694" t="str">
            <v>Dağıtım-OG</v>
          </cell>
          <cell r="I2694" t="str">
            <v>Uzun</v>
          </cell>
          <cell r="J2694" t="str">
            <v>Şebeke işletmecisi</v>
          </cell>
          <cell r="K2694" t="str">
            <v>Bildirimsiz</v>
          </cell>
          <cell r="O2694">
            <v>1</v>
          </cell>
          <cell r="P2694">
            <v>598</v>
          </cell>
          <cell r="Q2694">
            <v>0</v>
          </cell>
          <cell r="R2694">
            <v>1</v>
          </cell>
          <cell r="S2694">
            <v>0</v>
          </cell>
          <cell r="T2694">
            <v>0</v>
          </cell>
          <cell r="U2694">
            <v>16.450000000186265</v>
          </cell>
          <cell r="V2694">
            <v>9837.1000001113862</v>
          </cell>
          <cell r="W2694">
            <v>0</v>
          </cell>
          <cell r="X2694">
            <v>16.450000000186265</v>
          </cell>
          <cell r="Y2694">
            <v>0</v>
          </cell>
          <cell r="Z2694">
            <v>0</v>
          </cell>
        </row>
        <row r="2695">
          <cell r="C2695" t="str">
            <v>KIRKLARELİ</v>
          </cell>
          <cell r="D2695" t="str">
            <v>BABAESKİ</v>
          </cell>
          <cell r="H2695" t="str">
            <v>Dağıtım-OG</v>
          </cell>
          <cell r="I2695" t="str">
            <v>Uzun</v>
          </cell>
          <cell r="J2695" t="str">
            <v>Şebeke işletmecisi</v>
          </cell>
          <cell r="K2695" t="str">
            <v>Bildirimsiz</v>
          </cell>
          <cell r="O2695">
            <v>5</v>
          </cell>
          <cell r="P2695">
            <v>6</v>
          </cell>
          <cell r="Q2695">
            <v>5</v>
          </cell>
          <cell r="R2695">
            <v>1895</v>
          </cell>
          <cell r="S2695">
            <v>13</v>
          </cell>
          <cell r="T2695">
            <v>719</v>
          </cell>
          <cell r="U2695">
            <v>82.166666648117825</v>
          </cell>
          <cell r="V2695">
            <v>98.59999997774139</v>
          </cell>
          <cell r="W2695">
            <v>82.166666648117825</v>
          </cell>
          <cell r="X2695">
            <v>31141.166659636656</v>
          </cell>
          <cell r="Y2695">
            <v>213.63333328510635</v>
          </cell>
          <cell r="Z2695">
            <v>11815.566663999343</v>
          </cell>
        </row>
        <row r="2696">
          <cell r="C2696" t="str">
            <v>KIRKLARELİ</v>
          </cell>
          <cell r="D2696" t="str">
            <v>DEMİRKÖY</v>
          </cell>
          <cell r="H2696" t="str">
            <v>Dağıtım-AG</v>
          </cell>
          <cell r="I2696" t="str">
            <v>Uzun</v>
          </cell>
          <cell r="J2696" t="str">
            <v>Şebeke işletmecisi</v>
          </cell>
          <cell r="K2696" t="str">
            <v>Bildirimsiz</v>
          </cell>
          <cell r="O2696">
            <v>0</v>
          </cell>
          <cell r="P2696">
            <v>0</v>
          </cell>
          <cell r="Q2696">
            <v>0</v>
          </cell>
          <cell r="R2696">
            <v>3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49.250000008614734</v>
          </cell>
          <cell r="Y2696">
            <v>0</v>
          </cell>
          <cell r="Z2696">
            <v>0</v>
          </cell>
        </row>
        <row r="2697">
          <cell r="C2697" t="str">
            <v>KIRKLARELİ</v>
          </cell>
          <cell r="D2697" t="str">
            <v>LÜLEBURGAZ</v>
          </cell>
          <cell r="H2697" t="str">
            <v>Dağıtım-AG</v>
          </cell>
          <cell r="I2697" t="str">
            <v>Uzun</v>
          </cell>
          <cell r="J2697" t="str">
            <v>Şebeke işletmecisi</v>
          </cell>
          <cell r="K2697" t="str">
            <v>Bildirimsiz</v>
          </cell>
          <cell r="O2697">
            <v>0</v>
          </cell>
          <cell r="P2697">
            <v>30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491.99999996926636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</row>
        <row r="2698">
          <cell r="C2698" t="str">
            <v>EDİRNE</v>
          </cell>
          <cell r="D2698" t="str">
            <v>KEŞAN</v>
          </cell>
          <cell r="H2698" t="str">
            <v>Dağıtım-AG</v>
          </cell>
          <cell r="I2698" t="str">
            <v>Uzun</v>
          </cell>
          <cell r="J2698" t="str">
            <v>Şebeke işletmecisi</v>
          </cell>
          <cell r="K2698" t="str">
            <v>Bildirimsiz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11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180.21666672779247</v>
          </cell>
        </row>
        <row r="2699">
          <cell r="C2699" t="str">
            <v>EDİRNE</v>
          </cell>
          <cell r="D2699" t="str">
            <v>ENEZ</v>
          </cell>
          <cell r="H2699" t="str">
            <v>Dağıtım-AG</v>
          </cell>
          <cell r="I2699" t="str">
            <v>Uzun</v>
          </cell>
          <cell r="J2699" t="str">
            <v>Şebeke işletmecisi</v>
          </cell>
          <cell r="K2699" t="str">
            <v>Bildirimsiz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1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16.333333337679505</v>
          </cell>
        </row>
        <row r="2700">
          <cell r="C2700" t="str">
            <v>KIRKLARELİ</v>
          </cell>
          <cell r="D2700" t="str">
            <v>BABAESKİ</v>
          </cell>
          <cell r="H2700" t="str">
            <v>Dağıtım-AG</v>
          </cell>
          <cell r="I2700" t="str">
            <v>Uzun</v>
          </cell>
          <cell r="J2700" t="str">
            <v>Şebeke işletmecisi</v>
          </cell>
          <cell r="K2700" t="str">
            <v>Bildirimsiz</v>
          </cell>
          <cell r="O2700">
            <v>0</v>
          </cell>
          <cell r="P2700">
            <v>0</v>
          </cell>
          <cell r="Q2700">
            <v>0</v>
          </cell>
          <cell r="R2700">
            <v>33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536.79999997490086</v>
          </cell>
          <cell r="Y2700">
            <v>0</v>
          </cell>
          <cell r="Z2700">
            <v>0</v>
          </cell>
        </row>
        <row r="2701">
          <cell r="C2701" t="str">
            <v>KIRKLARELİ</v>
          </cell>
          <cell r="D2701" t="str">
            <v>LÜLEBURGAZ</v>
          </cell>
          <cell r="H2701" t="str">
            <v>Dağıtım-OG</v>
          </cell>
          <cell r="I2701" t="str">
            <v>Uzun</v>
          </cell>
          <cell r="J2701" t="str">
            <v>Şebeke İşletmecisi</v>
          </cell>
          <cell r="K2701" t="str">
            <v>Bildirimsiz</v>
          </cell>
          <cell r="O2701">
            <v>0</v>
          </cell>
          <cell r="P2701">
            <v>7067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114838.75004113535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</row>
        <row r="2702">
          <cell r="C2702" t="str">
            <v>TEKİRDAĞ</v>
          </cell>
          <cell r="D2702" t="str">
            <v>ÇORLU</v>
          </cell>
          <cell r="H2702" t="str">
            <v>Dağıtım-AG</v>
          </cell>
          <cell r="I2702" t="str">
            <v>Uzun</v>
          </cell>
          <cell r="J2702" t="str">
            <v>Şebeke işletmecisi</v>
          </cell>
          <cell r="K2702" t="str">
            <v>Bildirimsiz</v>
          </cell>
          <cell r="O2702">
            <v>0</v>
          </cell>
          <cell r="P2702">
            <v>15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243.74999993015081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</row>
        <row r="2703">
          <cell r="C2703" t="str">
            <v>TEKİRDAĞ</v>
          </cell>
          <cell r="D2703" t="str">
            <v>ÇERKEZKÖY</v>
          </cell>
          <cell r="H2703" t="str">
            <v>Dağıtım-OG</v>
          </cell>
          <cell r="I2703" t="str">
            <v>Uzun</v>
          </cell>
          <cell r="J2703" t="str">
            <v>Şebeke işletmecisi</v>
          </cell>
          <cell r="K2703" t="str">
            <v>Bildirimli</v>
          </cell>
          <cell r="O2703">
            <v>0</v>
          </cell>
          <cell r="P2703">
            <v>270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4378.4999994677491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</row>
        <row r="2704">
          <cell r="C2704" t="str">
            <v>TEKİRDAĞ</v>
          </cell>
          <cell r="D2704" t="str">
            <v>ÇERKEZKÖY</v>
          </cell>
          <cell r="H2704" t="str">
            <v>Dağıtım-AG</v>
          </cell>
          <cell r="I2704" t="str">
            <v>Uzun</v>
          </cell>
          <cell r="J2704" t="str">
            <v>Şebeke işletmecisi</v>
          </cell>
          <cell r="K2704" t="str">
            <v>Bildirimsiz</v>
          </cell>
          <cell r="O2704">
            <v>0</v>
          </cell>
          <cell r="P2704">
            <v>9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145.80000004149042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</row>
        <row r="2705">
          <cell r="C2705" t="str">
            <v>KIRKLARELİ</v>
          </cell>
          <cell r="D2705" t="str">
            <v>KIRKLARELİMERKEZ</v>
          </cell>
          <cell r="H2705" t="str">
            <v>Dağıtım-AG</v>
          </cell>
          <cell r="I2705" t="str">
            <v>Uzun</v>
          </cell>
          <cell r="J2705" t="str">
            <v>Şebeke işletmecisi</v>
          </cell>
          <cell r="K2705" t="str">
            <v>Bildirimsiz</v>
          </cell>
          <cell r="O2705">
            <v>0</v>
          </cell>
          <cell r="P2705">
            <v>63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1019.5500000449829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</row>
        <row r="2706">
          <cell r="C2706" t="str">
            <v>TEKİRDAĞ</v>
          </cell>
          <cell r="D2706" t="str">
            <v>MARMARAEREĞLİSİ</v>
          </cell>
          <cell r="H2706" t="str">
            <v>Dağıtım-AG</v>
          </cell>
          <cell r="I2706" t="str">
            <v>Uzun</v>
          </cell>
          <cell r="J2706" t="str">
            <v>Şebeke işletmecisi</v>
          </cell>
          <cell r="K2706" t="str">
            <v>Bildirimsiz</v>
          </cell>
          <cell r="O2706">
            <v>0</v>
          </cell>
          <cell r="P2706">
            <v>6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96.999999980907887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</row>
        <row r="2707">
          <cell r="C2707" t="str">
            <v>EDİRNE</v>
          </cell>
          <cell r="D2707" t="str">
            <v>KEŞAN</v>
          </cell>
          <cell r="H2707" t="str">
            <v>Dağıtım-AG</v>
          </cell>
          <cell r="I2707" t="str">
            <v>Uzun</v>
          </cell>
          <cell r="J2707" t="str">
            <v>Şebeke işletmecisi</v>
          </cell>
          <cell r="K2707" t="str">
            <v>Bildirimsiz</v>
          </cell>
          <cell r="O2707">
            <v>0</v>
          </cell>
          <cell r="P2707">
            <v>5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80.416666658129543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</row>
        <row r="2708">
          <cell r="C2708" t="str">
            <v>KIRKLARELİ</v>
          </cell>
          <cell r="D2708" t="str">
            <v>PINARHİSAR</v>
          </cell>
          <cell r="H2708" t="str">
            <v>Dağıtım-OG</v>
          </cell>
          <cell r="I2708" t="str">
            <v>Uzun</v>
          </cell>
          <cell r="J2708" t="str">
            <v>Şebeke İşletmecisi</v>
          </cell>
          <cell r="K2708" t="str">
            <v>Bildirimsiz</v>
          </cell>
          <cell r="O2708">
            <v>0</v>
          </cell>
          <cell r="P2708">
            <v>3</v>
          </cell>
          <cell r="Q2708">
            <v>0</v>
          </cell>
          <cell r="R2708">
            <v>722</v>
          </cell>
          <cell r="S2708">
            <v>0</v>
          </cell>
          <cell r="T2708">
            <v>0</v>
          </cell>
          <cell r="U2708">
            <v>0</v>
          </cell>
          <cell r="V2708">
            <v>48.149999971501529</v>
          </cell>
          <cell r="W2708">
            <v>0</v>
          </cell>
          <cell r="X2708">
            <v>11588.099993141368</v>
          </cell>
          <cell r="Y2708">
            <v>0</v>
          </cell>
          <cell r="Z2708">
            <v>0</v>
          </cell>
        </row>
        <row r="2709">
          <cell r="C2709" t="str">
            <v>EDİRNE</v>
          </cell>
          <cell r="D2709" t="str">
            <v>EDİRNEMERKEZ</v>
          </cell>
          <cell r="H2709" t="str">
            <v>Dağıtım-AG</v>
          </cell>
          <cell r="I2709" t="str">
            <v>Uzun</v>
          </cell>
          <cell r="J2709" t="str">
            <v>Şebeke işletmecisi</v>
          </cell>
          <cell r="K2709" t="str">
            <v>Bildirimsiz</v>
          </cell>
          <cell r="O2709">
            <v>0</v>
          </cell>
          <cell r="P2709">
            <v>82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1311.9999999809079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</row>
        <row r="2710">
          <cell r="C2710" t="str">
            <v>TEKİRDAĞ</v>
          </cell>
          <cell r="D2710" t="str">
            <v>HAYRABOLU</v>
          </cell>
          <cell r="H2710" t="str">
            <v>Dağıtım-OG</v>
          </cell>
          <cell r="I2710" t="str">
            <v>Uzun</v>
          </cell>
          <cell r="J2710" t="str">
            <v>Şebeke işletmecisi</v>
          </cell>
          <cell r="K2710" t="str">
            <v>Bildirimsiz</v>
          </cell>
          <cell r="O2710">
            <v>0</v>
          </cell>
          <cell r="P2710">
            <v>0</v>
          </cell>
          <cell r="Q2710">
            <v>2</v>
          </cell>
          <cell r="R2710">
            <v>1313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31.999999999534339</v>
          </cell>
          <cell r="X2710">
            <v>21007.999999694293</v>
          </cell>
          <cell r="Y2710">
            <v>0</v>
          </cell>
          <cell r="Z2710">
            <v>0</v>
          </cell>
        </row>
        <row r="2711">
          <cell r="C2711" t="str">
            <v>TEKİRDAĞ</v>
          </cell>
          <cell r="D2711" t="str">
            <v>HAYRABOLU</v>
          </cell>
          <cell r="H2711" t="str">
            <v>Dağıtım-AG</v>
          </cell>
          <cell r="I2711" t="str">
            <v>Uzun</v>
          </cell>
          <cell r="J2711" t="str">
            <v>Şebeke işletmecisi</v>
          </cell>
          <cell r="K2711" t="str">
            <v>Bildirimsiz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3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47.999999999301508</v>
          </cell>
        </row>
        <row r="2712">
          <cell r="C2712" t="str">
            <v>EDİRNE</v>
          </cell>
          <cell r="D2712" t="str">
            <v>İPSALA</v>
          </cell>
          <cell r="H2712" t="str">
            <v>Dağıtım-AG</v>
          </cell>
          <cell r="I2712" t="str">
            <v>Uzun</v>
          </cell>
          <cell r="J2712" t="str">
            <v>Şebeke işletmecisi</v>
          </cell>
          <cell r="K2712" t="str">
            <v>Bildirimsiz</v>
          </cell>
          <cell r="O2712">
            <v>0</v>
          </cell>
          <cell r="P2712">
            <v>0</v>
          </cell>
          <cell r="Q2712">
            <v>0</v>
          </cell>
          <cell r="R2712">
            <v>1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15.999999999767169</v>
          </cell>
          <cell r="Y2712">
            <v>0</v>
          </cell>
          <cell r="Z2712">
            <v>0</v>
          </cell>
        </row>
        <row r="2713">
          <cell r="C2713" t="str">
            <v>TEKİRDAĞ</v>
          </cell>
          <cell r="D2713" t="str">
            <v>SÜLEYMANPAŞA</v>
          </cell>
          <cell r="H2713" t="str">
            <v>Dağıtım-AG</v>
          </cell>
          <cell r="I2713" t="str">
            <v>Uzun</v>
          </cell>
          <cell r="J2713" t="str">
            <v>Şebeke işletmecisi</v>
          </cell>
          <cell r="K2713" t="str">
            <v>Bildirimsiz</v>
          </cell>
          <cell r="O2713">
            <v>0</v>
          </cell>
          <cell r="P2713">
            <v>2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31.999999999534339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</row>
        <row r="2714">
          <cell r="C2714" t="str">
            <v>TEKİRDAĞ</v>
          </cell>
          <cell r="D2714" t="str">
            <v>MALKARA</v>
          </cell>
          <cell r="H2714" t="str">
            <v>Dağıtım-AG</v>
          </cell>
          <cell r="I2714" t="str">
            <v>Uzun</v>
          </cell>
          <cell r="J2714" t="str">
            <v>Şebeke işletmecisi</v>
          </cell>
          <cell r="K2714" t="str">
            <v>Bildirimsiz</v>
          </cell>
          <cell r="O2714">
            <v>0</v>
          </cell>
          <cell r="P2714">
            <v>82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1310.6333329947665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</row>
        <row r="2715">
          <cell r="C2715" t="str">
            <v>EDİRNE</v>
          </cell>
          <cell r="D2715" t="str">
            <v>İPSALA</v>
          </cell>
          <cell r="H2715" t="str">
            <v>Dağıtım-AG</v>
          </cell>
          <cell r="I2715" t="str">
            <v>Uzun</v>
          </cell>
          <cell r="J2715" t="str">
            <v>Şebeke işletmecisi</v>
          </cell>
          <cell r="K2715" t="str">
            <v>Bildirimsiz</v>
          </cell>
          <cell r="O2715">
            <v>0</v>
          </cell>
          <cell r="P2715">
            <v>0</v>
          </cell>
          <cell r="Q2715">
            <v>0</v>
          </cell>
          <cell r="R2715">
            <v>1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15.966666669119149</v>
          </cell>
          <cell r="Y2715">
            <v>0</v>
          </cell>
          <cell r="Z2715">
            <v>0</v>
          </cell>
        </row>
        <row r="2716">
          <cell r="C2716" t="str">
            <v>TEKİRDAĞ</v>
          </cell>
          <cell r="D2716" t="str">
            <v>MARMARAEREĞLİSİ</v>
          </cell>
          <cell r="H2716" t="str">
            <v>Dağıtım-AG</v>
          </cell>
          <cell r="I2716" t="str">
            <v>Uzun</v>
          </cell>
          <cell r="J2716" t="str">
            <v>Şebeke işletmecisi</v>
          </cell>
          <cell r="K2716" t="str">
            <v>Bildirimsiz</v>
          </cell>
          <cell r="O2716">
            <v>0</v>
          </cell>
          <cell r="P2716">
            <v>14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223.30000012647361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</row>
        <row r="2717">
          <cell r="C2717" t="str">
            <v>EDİRNE</v>
          </cell>
          <cell r="D2717" t="str">
            <v>İPSALA</v>
          </cell>
          <cell r="H2717" t="str">
            <v>Dağıtım-AG</v>
          </cell>
          <cell r="I2717" t="str">
            <v>Uzun</v>
          </cell>
          <cell r="J2717" t="str">
            <v>Şebeke işletmecisi</v>
          </cell>
          <cell r="K2717" t="str">
            <v>Bildirimsiz</v>
          </cell>
          <cell r="O2717">
            <v>0</v>
          </cell>
          <cell r="P2717">
            <v>0</v>
          </cell>
          <cell r="Q2717">
            <v>0</v>
          </cell>
          <cell r="R2717">
            <v>18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286.80000009248033</v>
          </cell>
          <cell r="Y2717">
            <v>0</v>
          </cell>
          <cell r="Z2717">
            <v>0</v>
          </cell>
        </row>
        <row r="2718">
          <cell r="C2718" t="str">
            <v>EDİRNE</v>
          </cell>
          <cell r="D2718" t="str">
            <v>EDİRNEMERKEZ</v>
          </cell>
          <cell r="H2718" t="str">
            <v>Dağıtım-AG</v>
          </cell>
          <cell r="I2718" t="str">
            <v>Uzun</v>
          </cell>
          <cell r="J2718" t="str">
            <v>Şebeke işletmecisi</v>
          </cell>
          <cell r="K2718" t="str">
            <v>Bildirimsiz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1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15.933333327993751</v>
          </cell>
        </row>
        <row r="2719">
          <cell r="C2719" t="str">
            <v>TEKİRDAĞ</v>
          </cell>
          <cell r="D2719" t="str">
            <v>MARMARAEREĞLİSİ</v>
          </cell>
          <cell r="H2719" t="str">
            <v>Dağıtım-OG</v>
          </cell>
          <cell r="I2719" t="str">
            <v>Uzun</v>
          </cell>
          <cell r="J2719" t="str">
            <v>Şebeke işletmecisi</v>
          </cell>
          <cell r="K2719" t="str">
            <v>Bildirimli</v>
          </cell>
          <cell r="O2719">
            <v>4</v>
          </cell>
          <cell r="P2719">
            <v>3109</v>
          </cell>
          <cell r="Q2719">
            <v>4</v>
          </cell>
          <cell r="R2719">
            <v>11</v>
          </cell>
          <cell r="S2719">
            <v>1</v>
          </cell>
          <cell r="T2719">
            <v>0</v>
          </cell>
          <cell r="U2719">
            <v>63.66666667163372</v>
          </cell>
          <cell r="V2719">
            <v>49484.916670527309</v>
          </cell>
          <cell r="W2719">
            <v>63.66666667163372</v>
          </cell>
          <cell r="X2719">
            <v>175.08333334699273</v>
          </cell>
          <cell r="Y2719">
            <v>15.91666666790843</v>
          </cell>
          <cell r="Z2719">
            <v>0</v>
          </cell>
        </row>
        <row r="2720">
          <cell r="C2720" t="str">
            <v>TEKİRDAĞ</v>
          </cell>
          <cell r="D2720" t="str">
            <v>ERGENE</v>
          </cell>
          <cell r="H2720" t="str">
            <v>Dağıtım-OG</v>
          </cell>
          <cell r="I2720" t="str">
            <v>Uzun</v>
          </cell>
          <cell r="J2720" t="str">
            <v>Şebeke İşletmecisi</v>
          </cell>
          <cell r="K2720" t="str">
            <v>Bildirimsiz</v>
          </cell>
          <cell r="O2720">
            <v>23</v>
          </cell>
          <cell r="P2720">
            <v>9</v>
          </cell>
          <cell r="Q2720">
            <v>0</v>
          </cell>
          <cell r="R2720">
            <v>0</v>
          </cell>
          <cell r="S2720">
            <v>0</v>
          </cell>
          <cell r="T2720">
            <v>2</v>
          </cell>
          <cell r="U2720">
            <v>365.31666675698943</v>
          </cell>
          <cell r="V2720">
            <v>142.95000003534369</v>
          </cell>
          <cell r="W2720">
            <v>0</v>
          </cell>
          <cell r="X2720">
            <v>0</v>
          </cell>
          <cell r="Y2720">
            <v>0</v>
          </cell>
          <cell r="Z2720">
            <v>31.76666667452082</v>
          </cell>
        </row>
        <row r="2721">
          <cell r="C2721" t="str">
            <v>TEKİRDAĞ</v>
          </cell>
          <cell r="D2721" t="str">
            <v>HAYRABOLU</v>
          </cell>
          <cell r="H2721" t="str">
            <v>Dağıtım-AG</v>
          </cell>
          <cell r="I2721" t="str">
            <v>Uzun</v>
          </cell>
          <cell r="J2721" t="str">
            <v>Şebeke işletmecisi</v>
          </cell>
          <cell r="K2721" t="str">
            <v>Bildirimsiz</v>
          </cell>
          <cell r="O2721">
            <v>0</v>
          </cell>
          <cell r="P2721">
            <v>0</v>
          </cell>
          <cell r="Q2721">
            <v>0</v>
          </cell>
          <cell r="R2721">
            <v>1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15.866666666697711</v>
          </cell>
          <cell r="Y2721">
            <v>0</v>
          </cell>
          <cell r="Z2721">
            <v>0</v>
          </cell>
        </row>
        <row r="2722">
          <cell r="C2722" t="str">
            <v>KIRKLARELİ</v>
          </cell>
          <cell r="D2722" t="str">
            <v>LÜLEBURGAZ</v>
          </cell>
          <cell r="H2722" t="str">
            <v>Dağıtım-AG</v>
          </cell>
          <cell r="I2722" t="str">
            <v>Uzun</v>
          </cell>
          <cell r="J2722" t="str">
            <v>Şebeke işletmecisi</v>
          </cell>
          <cell r="K2722" t="str">
            <v>Bildirimsiz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1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15.766666674753651</v>
          </cell>
        </row>
        <row r="2723">
          <cell r="C2723" t="str">
            <v>TEKİRDAĞ</v>
          </cell>
          <cell r="D2723" t="str">
            <v>MALKARA</v>
          </cell>
          <cell r="H2723" t="str">
            <v>Dağıtım-AG</v>
          </cell>
          <cell r="I2723" t="str">
            <v>Uzun</v>
          </cell>
          <cell r="J2723" t="str">
            <v>Şebeke işletmecisi</v>
          </cell>
          <cell r="K2723" t="str">
            <v>Bildirimsiz</v>
          </cell>
          <cell r="O2723">
            <v>0</v>
          </cell>
          <cell r="P2723">
            <v>75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1180.0000000221189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</row>
        <row r="2724">
          <cell r="C2724" t="str">
            <v>EDİRNE</v>
          </cell>
          <cell r="D2724" t="str">
            <v>KEŞAN</v>
          </cell>
          <cell r="H2724" t="str">
            <v>Dağıtım-AG</v>
          </cell>
          <cell r="I2724" t="str">
            <v>Uzun</v>
          </cell>
          <cell r="J2724" t="str">
            <v>Şebeke işletmecisi</v>
          </cell>
          <cell r="K2724" t="str">
            <v>Bildirimsiz</v>
          </cell>
          <cell r="O2724">
            <v>0</v>
          </cell>
          <cell r="P2724">
            <v>15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236.00000000442378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</row>
        <row r="2725">
          <cell r="C2725" t="str">
            <v>KIRKLARELİ</v>
          </cell>
          <cell r="D2725" t="str">
            <v>BABAESKİ</v>
          </cell>
          <cell r="H2725" t="str">
            <v>Dağıtım-AG</v>
          </cell>
          <cell r="I2725" t="str">
            <v>Uzun</v>
          </cell>
          <cell r="J2725" t="str">
            <v>Şebeke işletmecisi</v>
          </cell>
          <cell r="K2725" t="str">
            <v>Bildirimsiz</v>
          </cell>
          <cell r="O2725">
            <v>0</v>
          </cell>
          <cell r="P2725">
            <v>55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862.5833332829643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</row>
        <row r="2726">
          <cell r="C2726" t="str">
            <v>EDİRNE</v>
          </cell>
          <cell r="D2726" t="str">
            <v>EDİRNEMERKEZ</v>
          </cell>
          <cell r="H2726" t="str">
            <v>Dağıtım-OG</v>
          </cell>
          <cell r="I2726" t="str">
            <v>Uzun</v>
          </cell>
          <cell r="J2726" t="str">
            <v>Şebeke İşletmecisi</v>
          </cell>
          <cell r="K2726" t="str">
            <v>Bildirimsiz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3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46.950000005308539</v>
          </cell>
          <cell r="Z2726">
            <v>0</v>
          </cell>
        </row>
        <row r="2727">
          <cell r="C2727" t="str">
            <v>EDİRNE</v>
          </cell>
          <cell r="D2727" t="str">
            <v>HAVSA</v>
          </cell>
          <cell r="H2727" t="str">
            <v>Dağıtım-OG</v>
          </cell>
          <cell r="I2727" t="str">
            <v>Uzun</v>
          </cell>
          <cell r="J2727" t="str">
            <v>Şebeke İşletmecisi</v>
          </cell>
          <cell r="K2727" t="str">
            <v>Bildirimsiz</v>
          </cell>
          <cell r="O2727">
            <v>0</v>
          </cell>
          <cell r="P2727">
            <v>0</v>
          </cell>
          <cell r="Q2727">
            <v>5</v>
          </cell>
          <cell r="R2727">
            <v>0</v>
          </cell>
          <cell r="S2727">
            <v>11</v>
          </cell>
          <cell r="T2727">
            <v>151</v>
          </cell>
          <cell r="U2727">
            <v>0</v>
          </cell>
          <cell r="V2727">
            <v>0</v>
          </cell>
          <cell r="W2727">
            <v>78.166666656034067</v>
          </cell>
          <cell r="X2727">
            <v>0</v>
          </cell>
          <cell r="Y2727">
            <v>171.96666664327495</v>
          </cell>
          <cell r="Z2727">
            <v>2360.6333330122288</v>
          </cell>
        </row>
        <row r="2728">
          <cell r="C2728" t="str">
            <v>TEKİRDAĞ</v>
          </cell>
          <cell r="D2728" t="str">
            <v>HAYRABOLU</v>
          </cell>
          <cell r="H2728" t="str">
            <v>Dağıtım-AG</v>
          </cell>
          <cell r="I2728" t="str">
            <v>Uzun</v>
          </cell>
          <cell r="J2728" t="str">
            <v>Şebeke işletmecisi</v>
          </cell>
          <cell r="K2728" t="str">
            <v>Bildirimsiz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27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418.50000023259781</v>
          </cell>
        </row>
        <row r="2729">
          <cell r="C2729" t="str">
            <v>EDİRNE</v>
          </cell>
          <cell r="D2729" t="str">
            <v>HAVSA</v>
          </cell>
          <cell r="H2729" t="str">
            <v>Dağıtım-OG</v>
          </cell>
          <cell r="I2729" t="str">
            <v>Uzun</v>
          </cell>
          <cell r="J2729" t="str">
            <v>Şebeke İşletmecisi</v>
          </cell>
          <cell r="K2729" t="str">
            <v>Bildirimsiz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1</v>
          </cell>
          <cell r="T2729">
            <v>122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15.499999998137355</v>
          </cell>
          <cell r="Z2729">
            <v>1890.9999997727573</v>
          </cell>
        </row>
        <row r="2730">
          <cell r="C2730" t="str">
            <v>TEKİRDAĞ</v>
          </cell>
          <cell r="D2730" t="str">
            <v>SÜLEYMANPAŞA</v>
          </cell>
          <cell r="H2730" t="str">
            <v>Dağıtım-AG</v>
          </cell>
          <cell r="I2730" t="str">
            <v>Uzun</v>
          </cell>
          <cell r="J2730" t="str">
            <v>Şebeke işletmecisi</v>
          </cell>
          <cell r="K2730" t="str">
            <v>Bildirimsiz</v>
          </cell>
          <cell r="O2730">
            <v>0</v>
          </cell>
          <cell r="P2730">
            <v>36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556.80000002961606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</row>
        <row r="2731">
          <cell r="C2731" t="str">
            <v>EDİRNE</v>
          </cell>
          <cell r="D2731" t="str">
            <v>EDİRNEMERKEZ</v>
          </cell>
          <cell r="H2731" t="str">
            <v>Dağıtım-AG</v>
          </cell>
          <cell r="I2731" t="str">
            <v>Uzun</v>
          </cell>
          <cell r="J2731" t="str">
            <v>Şebeke işletmecisi</v>
          </cell>
          <cell r="K2731" t="str">
            <v>Bildirimsiz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53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819.73333337693475</v>
          </cell>
        </row>
        <row r="2732">
          <cell r="C2732" t="str">
            <v>KIRKLARELİ</v>
          </cell>
          <cell r="D2732" t="str">
            <v>DEMİRKÖY</v>
          </cell>
          <cell r="H2732" t="str">
            <v>Dağıtım-AG</v>
          </cell>
          <cell r="I2732" t="str">
            <v>Uzun</v>
          </cell>
          <cell r="J2732" t="str">
            <v>Şebeke işletmecisi</v>
          </cell>
          <cell r="K2732" t="str">
            <v>Bildirimsiz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5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77.249999984633178</v>
          </cell>
        </row>
        <row r="2733">
          <cell r="C2733" t="str">
            <v>KIRKLARELİ</v>
          </cell>
          <cell r="D2733" t="str">
            <v>LÜLEBURGAZ</v>
          </cell>
          <cell r="H2733" t="str">
            <v>Dağıtım-OG</v>
          </cell>
          <cell r="I2733" t="str">
            <v>Uzun</v>
          </cell>
          <cell r="J2733" t="str">
            <v>Şebeke İşletmecisi</v>
          </cell>
          <cell r="K2733" t="str">
            <v>Bildirimsiz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12</v>
          </cell>
          <cell r="T2733">
            <v>733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185.20000004209578</v>
          </cell>
          <cell r="Z2733">
            <v>11312.633335904684</v>
          </cell>
        </row>
        <row r="2734">
          <cell r="C2734" t="str">
            <v>KIRKLARELİ</v>
          </cell>
          <cell r="D2734" t="str">
            <v>LÜLEBURGAZ</v>
          </cell>
          <cell r="H2734" t="str">
            <v>Dağıtım-AG</v>
          </cell>
          <cell r="I2734" t="str">
            <v>Uzun</v>
          </cell>
          <cell r="J2734" t="str">
            <v>Şebeke işletmecisi</v>
          </cell>
          <cell r="K2734" t="str">
            <v>Bildirimsiz</v>
          </cell>
          <cell r="O2734">
            <v>0</v>
          </cell>
          <cell r="P2734">
            <v>156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2404.999999939464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</row>
        <row r="2735">
          <cell r="C2735" t="str">
            <v>EDİRNE</v>
          </cell>
          <cell r="D2735" t="str">
            <v>HAVSA</v>
          </cell>
          <cell r="H2735" t="str">
            <v>Dağıtım-OG</v>
          </cell>
          <cell r="I2735" t="str">
            <v>Uzun</v>
          </cell>
          <cell r="J2735" t="str">
            <v>Şebeke İşletmecisi</v>
          </cell>
          <cell r="K2735" t="str">
            <v>Bildirimsiz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1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15.399999995715916</v>
          </cell>
        </row>
        <row r="2736">
          <cell r="C2736" t="str">
            <v>KIRKLARELİ</v>
          </cell>
          <cell r="D2736" t="str">
            <v>KIRKLARELİMERKEZ</v>
          </cell>
          <cell r="H2736" t="str">
            <v>Dağıtım-AG</v>
          </cell>
          <cell r="I2736" t="str">
            <v>Uzun</v>
          </cell>
          <cell r="J2736" t="str">
            <v>Şebeke işletmecisi</v>
          </cell>
          <cell r="K2736" t="str">
            <v>Bildirimsiz</v>
          </cell>
          <cell r="O2736">
            <v>0</v>
          </cell>
          <cell r="P2736">
            <v>9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138.45000002067536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</row>
        <row r="2737">
          <cell r="C2737" t="str">
            <v>TEKİRDAĞ</v>
          </cell>
          <cell r="D2737" t="str">
            <v>MURATLI</v>
          </cell>
          <cell r="H2737" t="str">
            <v>Dağıtım-OG</v>
          </cell>
          <cell r="I2737" t="str">
            <v>Uzun</v>
          </cell>
          <cell r="J2737" t="str">
            <v>Şebeke işletmecisi</v>
          </cell>
          <cell r="K2737" t="str">
            <v>Bildirimsiz</v>
          </cell>
          <cell r="O2737">
            <v>17</v>
          </cell>
          <cell r="P2737">
            <v>3648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260.94999990658835</v>
          </cell>
          <cell r="V2737">
            <v>55996.799979954958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</row>
        <row r="2738">
          <cell r="C2738" t="str">
            <v>TEKİRDAĞ</v>
          </cell>
          <cell r="D2738" t="str">
            <v>MARMARAEREĞLİSİ</v>
          </cell>
          <cell r="H2738" t="str">
            <v>Dağıtım-AG</v>
          </cell>
          <cell r="I2738" t="str">
            <v>Uzun</v>
          </cell>
          <cell r="J2738" t="str">
            <v>Şebeke İşletmecisi</v>
          </cell>
          <cell r="K2738" t="str">
            <v>Bildirimsiz</v>
          </cell>
          <cell r="O2738">
            <v>0</v>
          </cell>
          <cell r="P2738">
            <v>0</v>
          </cell>
          <cell r="Q2738">
            <v>0</v>
          </cell>
          <cell r="R2738">
            <v>7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107.21666664700024</v>
          </cell>
          <cell r="Y2738">
            <v>0</v>
          </cell>
          <cell r="Z2738">
            <v>0</v>
          </cell>
        </row>
        <row r="2739">
          <cell r="C2739" t="str">
            <v>TEKİRDAĞ</v>
          </cell>
          <cell r="D2739" t="str">
            <v>MARMARAEREĞLİSİ</v>
          </cell>
          <cell r="H2739" t="str">
            <v>Dağıtım-AG</v>
          </cell>
          <cell r="I2739" t="str">
            <v>Uzun</v>
          </cell>
          <cell r="J2739" t="str">
            <v>Şebeke işletmecisi</v>
          </cell>
          <cell r="K2739" t="str">
            <v>Bildirimsiz</v>
          </cell>
          <cell r="O2739">
            <v>0</v>
          </cell>
          <cell r="P2739">
            <v>9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137.54999999888241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</row>
        <row r="2740">
          <cell r="C2740" t="str">
            <v>EDİRNE</v>
          </cell>
          <cell r="D2740" t="str">
            <v>UZUNKÖPRÜ</v>
          </cell>
          <cell r="H2740" t="str">
            <v>Dağıtım-AG</v>
          </cell>
          <cell r="I2740" t="str">
            <v>Uzun</v>
          </cell>
          <cell r="J2740" t="str">
            <v>Şebeke işletmecisi</v>
          </cell>
          <cell r="K2740" t="str">
            <v>Bildirimsiz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200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3053.3333325292915</v>
          </cell>
        </row>
        <row r="2741">
          <cell r="C2741" t="str">
            <v>TEKİRDAĞ</v>
          </cell>
          <cell r="D2741" t="str">
            <v>HAYRABOLU</v>
          </cell>
          <cell r="H2741" t="str">
            <v>Dağıtım-AG</v>
          </cell>
          <cell r="I2741" t="str">
            <v>Uzun</v>
          </cell>
          <cell r="J2741" t="str">
            <v>Şebeke işletmecisi</v>
          </cell>
          <cell r="K2741" t="str">
            <v>Bildirimsiz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27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412.19999989145435</v>
          </cell>
        </row>
        <row r="2742">
          <cell r="C2742" t="str">
            <v>TEKİRDAĞ</v>
          </cell>
          <cell r="D2742" t="str">
            <v>HAYRABOLU</v>
          </cell>
          <cell r="H2742" t="str">
            <v>Dağıtım-AG</v>
          </cell>
          <cell r="I2742" t="str">
            <v>Uzun</v>
          </cell>
          <cell r="J2742" t="str">
            <v>Şebeke işletmecisi</v>
          </cell>
          <cell r="K2742" t="str">
            <v>Bildirimsiz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13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198.03333331597969</v>
          </cell>
        </row>
        <row r="2743">
          <cell r="C2743" t="str">
            <v>KIRKLARELİ</v>
          </cell>
          <cell r="D2743" t="str">
            <v>DEMİRKÖY</v>
          </cell>
          <cell r="H2743" t="str">
            <v>Dağıtım-OG</v>
          </cell>
          <cell r="I2743" t="str">
            <v>Uzun</v>
          </cell>
          <cell r="J2743" t="str">
            <v>Şebeke İşletmecisi</v>
          </cell>
          <cell r="K2743" t="str">
            <v>Bildirimsiz</v>
          </cell>
          <cell r="O2743">
            <v>0</v>
          </cell>
          <cell r="P2743">
            <v>0</v>
          </cell>
          <cell r="Q2743">
            <v>0</v>
          </cell>
          <cell r="R2743">
            <v>281</v>
          </cell>
          <cell r="S2743">
            <v>4</v>
          </cell>
          <cell r="T2743">
            <v>287</v>
          </cell>
          <cell r="U2743">
            <v>0</v>
          </cell>
          <cell r="V2743">
            <v>0</v>
          </cell>
          <cell r="W2743">
            <v>0</v>
          </cell>
          <cell r="X2743">
            <v>4266.5166688954923</v>
          </cell>
          <cell r="Y2743">
            <v>60.733333365060389</v>
          </cell>
          <cell r="Z2743">
            <v>4357.6166689430829</v>
          </cell>
        </row>
        <row r="2744">
          <cell r="C2744" t="str">
            <v>KIRKLARELİ</v>
          </cell>
          <cell r="D2744" t="str">
            <v>BABAESKİ</v>
          </cell>
          <cell r="H2744" t="str">
            <v>Dağıtım-OG</v>
          </cell>
          <cell r="I2744" t="str">
            <v>Uzun</v>
          </cell>
          <cell r="J2744" t="str">
            <v>Şebeke işletmecisi</v>
          </cell>
          <cell r="K2744" t="str">
            <v>Bildirimsiz</v>
          </cell>
          <cell r="O2744">
            <v>2</v>
          </cell>
          <cell r="P2744">
            <v>1</v>
          </cell>
          <cell r="Q2744">
            <v>3</v>
          </cell>
          <cell r="R2744">
            <v>17</v>
          </cell>
          <cell r="S2744">
            <v>0</v>
          </cell>
          <cell r="T2744">
            <v>0</v>
          </cell>
          <cell r="U2744">
            <v>30.333333341404796</v>
          </cell>
          <cell r="V2744">
            <v>15.166666670702398</v>
          </cell>
          <cell r="W2744">
            <v>45.500000012107193</v>
          </cell>
          <cell r="X2744">
            <v>257.83333340194076</v>
          </cell>
          <cell r="Y2744">
            <v>0</v>
          </cell>
          <cell r="Z2744">
            <v>0</v>
          </cell>
        </row>
        <row r="2745">
          <cell r="C2745" t="str">
            <v>TEKİRDAĞ</v>
          </cell>
          <cell r="D2745" t="str">
            <v>MARMARAEREĞLİSİ</v>
          </cell>
          <cell r="H2745" t="str">
            <v>Dağıtım-OG</v>
          </cell>
          <cell r="I2745" t="str">
            <v>Uzun</v>
          </cell>
          <cell r="J2745" t="str">
            <v>Şebeke işletmecisi</v>
          </cell>
          <cell r="K2745" t="str">
            <v>Bildirimsiz</v>
          </cell>
          <cell r="O2745">
            <v>0</v>
          </cell>
          <cell r="P2745">
            <v>85</v>
          </cell>
          <cell r="Q2745">
            <v>0</v>
          </cell>
          <cell r="R2745">
            <v>1</v>
          </cell>
          <cell r="S2745">
            <v>0</v>
          </cell>
          <cell r="T2745">
            <v>0</v>
          </cell>
          <cell r="U2745">
            <v>0</v>
          </cell>
          <cell r="V2745">
            <v>1289.1666670097038</v>
          </cell>
          <cell r="W2745">
            <v>0</v>
          </cell>
          <cell r="X2745">
            <v>15.166666670702398</v>
          </cell>
          <cell r="Y2745">
            <v>0</v>
          </cell>
          <cell r="Z2745">
            <v>0</v>
          </cell>
        </row>
        <row r="2746">
          <cell r="C2746" t="str">
            <v>TEKİRDAĞ</v>
          </cell>
          <cell r="D2746" t="str">
            <v>SARAY</v>
          </cell>
          <cell r="H2746" t="str">
            <v>Dağıtım-AG</v>
          </cell>
          <cell r="I2746" t="str">
            <v>Uzun</v>
          </cell>
          <cell r="J2746" t="str">
            <v>Şebeke işletmecisi</v>
          </cell>
          <cell r="K2746" t="str">
            <v>Bildirimsiz</v>
          </cell>
          <cell r="O2746">
            <v>0</v>
          </cell>
          <cell r="P2746">
            <v>0</v>
          </cell>
          <cell r="Q2746">
            <v>0</v>
          </cell>
          <cell r="R2746">
            <v>13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196.73333328450099</v>
          </cell>
          <cell r="Y2746">
            <v>0</v>
          </cell>
          <cell r="Z2746">
            <v>0</v>
          </cell>
        </row>
        <row r="2747">
          <cell r="C2747" t="str">
            <v>TEKİRDAĞ</v>
          </cell>
          <cell r="D2747" t="str">
            <v>MARMARAEREĞLİSİ</v>
          </cell>
          <cell r="H2747" t="str">
            <v>Dağıtım-AG</v>
          </cell>
          <cell r="I2747" t="str">
            <v>Uzun</v>
          </cell>
          <cell r="J2747" t="str">
            <v>Şebeke işletmecisi</v>
          </cell>
          <cell r="K2747" t="str">
            <v>Bildirimsiz</v>
          </cell>
          <cell r="O2747">
            <v>0</v>
          </cell>
          <cell r="P2747">
            <v>5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75.666666647884995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</row>
        <row r="2748">
          <cell r="C2748" t="str">
            <v>KIRKLARELİ</v>
          </cell>
          <cell r="D2748" t="str">
            <v>KIRKLARELİMERKEZ</v>
          </cell>
          <cell r="H2748" t="str">
            <v>Dağıtım-OG</v>
          </cell>
          <cell r="I2748" t="str">
            <v>Uzun</v>
          </cell>
          <cell r="J2748" t="str">
            <v>Şebeke İşletmecisi</v>
          </cell>
          <cell r="K2748" t="str">
            <v>Bildirimsiz</v>
          </cell>
          <cell r="O2748">
            <v>1</v>
          </cell>
          <cell r="P2748">
            <v>0</v>
          </cell>
          <cell r="Q2748">
            <v>6</v>
          </cell>
          <cell r="R2748">
            <v>166</v>
          </cell>
          <cell r="S2748">
            <v>35</v>
          </cell>
          <cell r="T2748">
            <v>1277</v>
          </cell>
          <cell r="U2748">
            <v>15.1166666590143</v>
          </cell>
          <cell r="V2748">
            <v>0</v>
          </cell>
          <cell r="W2748">
            <v>90.699999954085797</v>
          </cell>
          <cell r="X2748">
            <v>2509.3666653963737</v>
          </cell>
          <cell r="Y2748">
            <v>529.08333306550048</v>
          </cell>
          <cell r="Z2748">
            <v>19303.98332356126</v>
          </cell>
        </row>
        <row r="2749">
          <cell r="C2749" t="str">
            <v>TEKİRDAĞ</v>
          </cell>
          <cell r="D2749" t="str">
            <v>ŞARKÖY</v>
          </cell>
          <cell r="H2749" t="str">
            <v>Dağıtım-AG</v>
          </cell>
          <cell r="I2749" t="str">
            <v>Uzun</v>
          </cell>
          <cell r="J2749" t="str">
            <v>Şebeke işletmecisi</v>
          </cell>
          <cell r="K2749" t="str">
            <v>Bildirimsiz</v>
          </cell>
          <cell r="O2749">
            <v>0</v>
          </cell>
          <cell r="P2749">
            <v>0</v>
          </cell>
          <cell r="Q2749">
            <v>0</v>
          </cell>
          <cell r="R2749">
            <v>22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331.09999994980171</v>
          </cell>
          <cell r="Y2749">
            <v>0</v>
          </cell>
          <cell r="Z2749">
            <v>0</v>
          </cell>
        </row>
        <row r="2750">
          <cell r="C2750" t="str">
            <v>KIRKLARELİ</v>
          </cell>
          <cell r="D2750" t="str">
            <v>LÜLEBURGAZ</v>
          </cell>
          <cell r="H2750" t="str">
            <v>Dağıtım-AG</v>
          </cell>
          <cell r="I2750" t="str">
            <v>Uzun</v>
          </cell>
          <cell r="J2750" t="str">
            <v>Şebeke işletmecisi</v>
          </cell>
          <cell r="K2750" t="str">
            <v>Bildirimsiz</v>
          </cell>
          <cell r="O2750">
            <v>0</v>
          </cell>
          <cell r="P2750">
            <v>102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1533.4000004385598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</row>
        <row r="2751">
          <cell r="C2751" t="str">
            <v>TEKİRDAĞ</v>
          </cell>
          <cell r="D2751" t="str">
            <v>SÜLEYMANPAŞA</v>
          </cell>
          <cell r="H2751" t="str">
            <v>Dağıtım-AG</v>
          </cell>
          <cell r="I2751" t="str">
            <v>Uzun</v>
          </cell>
          <cell r="J2751" t="str">
            <v>Şebeke işletmecisi</v>
          </cell>
          <cell r="K2751" t="str">
            <v>Bildirimsiz</v>
          </cell>
          <cell r="O2751">
            <v>0</v>
          </cell>
          <cell r="P2751">
            <v>129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1937.1500000520609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</row>
        <row r="2752">
          <cell r="C2752" t="str">
            <v>KIRKLARELİ</v>
          </cell>
          <cell r="D2752" t="str">
            <v>LÜLEBURGAZ</v>
          </cell>
          <cell r="H2752" t="str">
            <v>Dağıtım-AG</v>
          </cell>
          <cell r="I2752" t="str">
            <v>Uzun</v>
          </cell>
          <cell r="J2752" t="str">
            <v>Şebeke işletmecisi</v>
          </cell>
          <cell r="K2752" t="str">
            <v>Bildirimsiz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1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15.01666666707024</v>
          </cell>
        </row>
        <row r="2753">
          <cell r="C2753" t="str">
            <v>KIRKLARELİ</v>
          </cell>
          <cell r="D2753" t="str">
            <v>DEMİRKÖY</v>
          </cell>
          <cell r="H2753" t="str">
            <v>Dağıtım-OG</v>
          </cell>
          <cell r="I2753" t="str">
            <v>Uzun</v>
          </cell>
          <cell r="J2753" t="str">
            <v>Şebeke İşletmecisi</v>
          </cell>
          <cell r="K2753" t="str">
            <v>Bildirimsiz</v>
          </cell>
          <cell r="O2753">
            <v>0</v>
          </cell>
          <cell r="P2753">
            <v>0</v>
          </cell>
          <cell r="Q2753">
            <v>3</v>
          </cell>
          <cell r="R2753">
            <v>2</v>
          </cell>
          <cell r="S2753">
            <v>7</v>
          </cell>
          <cell r="T2753">
            <v>109</v>
          </cell>
          <cell r="U2753">
            <v>0</v>
          </cell>
          <cell r="V2753">
            <v>0</v>
          </cell>
          <cell r="W2753">
            <v>45.050000001210719</v>
          </cell>
          <cell r="X2753">
            <v>30.03333333414048</v>
          </cell>
          <cell r="Y2753">
            <v>105.11666666949168</v>
          </cell>
          <cell r="Z2753">
            <v>1636.8166667106561</v>
          </cell>
        </row>
        <row r="2754">
          <cell r="C2754" t="str">
            <v>EDİRNE</v>
          </cell>
          <cell r="D2754" t="str">
            <v>HAVSA</v>
          </cell>
          <cell r="H2754" t="str">
            <v>Dağıtım-OG</v>
          </cell>
          <cell r="I2754" t="str">
            <v>Uzun</v>
          </cell>
          <cell r="J2754" t="str">
            <v>Şebeke işletmecisi</v>
          </cell>
          <cell r="K2754" t="str">
            <v>Bildirimsiz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56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840.00000039115548</v>
          </cell>
        </row>
        <row r="2755">
          <cell r="C2755" t="str">
            <v>KIRKLARELİ</v>
          </cell>
          <cell r="D2755" t="str">
            <v>PINARHİSAR</v>
          </cell>
          <cell r="H2755" t="str">
            <v>Dağıtım-AG</v>
          </cell>
          <cell r="I2755" t="str">
            <v>Uzun</v>
          </cell>
          <cell r="J2755" t="str">
            <v>Şebeke işletmecisi</v>
          </cell>
          <cell r="K2755" t="str">
            <v>Bildirimsiz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27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405.00000018859282</v>
          </cell>
        </row>
        <row r="2756">
          <cell r="C2756" t="str">
            <v>KIRKLARELİ</v>
          </cell>
          <cell r="D2756" t="str">
            <v>DEMİRKÖY</v>
          </cell>
          <cell r="H2756" t="str">
            <v>Dağıtım-OG</v>
          </cell>
          <cell r="I2756" t="str">
            <v>Uzun</v>
          </cell>
          <cell r="J2756" t="str">
            <v>Şebeke işletmecisi</v>
          </cell>
          <cell r="K2756" t="str">
            <v>Bildirimsiz</v>
          </cell>
          <cell r="O2756">
            <v>0</v>
          </cell>
          <cell r="P2756">
            <v>0</v>
          </cell>
          <cell r="Q2756">
            <v>0</v>
          </cell>
          <cell r="R2756">
            <v>11</v>
          </cell>
          <cell r="S2756">
            <v>3</v>
          </cell>
          <cell r="T2756">
            <v>441</v>
          </cell>
          <cell r="U2756">
            <v>0</v>
          </cell>
          <cell r="V2756">
            <v>0</v>
          </cell>
          <cell r="W2756">
            <v>0</v>
          </cell>
          <cell r="X2756">
            <v>165.00000007683411</v>
          </cell>
          <cell r="Y2756">
            <v>45.000000020954758</v>
          </cell>
          <cell r="Z2756">
            <v>6615.0000030803494</v>
          </cell>
        </row>
        <row r="2757">
          <cell r="C2757" t="str">
            <v>KIRKLARELİ</v>
          </cell>
          <cell r="D2757" t="str">
            <v>DEMİRKÖY</v>
          </cell>
          <cell r="H2757" t="str">
            <v>Dağıtım-OG</v>
          </cell>
          <cell r="I2757" t="str">
            <v>Uzun</v>
          </cell>
          <cell r="J2757" t="str">
            <v>Şebeke işletmecisi</v>
          </cell>
          <cell r="K2757" t="str">
            <v>Bildirimsiz</v>
          </cell>
          <cell r="O2757">
            <v>0</v>
          </cell>
          <cell r="P2757">
            <v>0</v>
          </cell>
          <cell r="Q2757">
            <v>3</v>
          </cell>
          <cell r="R2757">
            <v>165</v>
          </cell>
          <cell r="S2757">
            <v>8</v>
          </cell>
          <cell r="T2757">
            <v>236</v>
          </cell>
          <cell r="U2757">
            <v>0</v>
          </cell>
          <cell r="V2757">
            <v>0</v>
          </cell>
          <cell r="W2757">
            <v>45.000000020954758</v>
          </cell>
          <cell r="X2757">
            <v>2475.0000011525117</v>
          </cell>
          <cell r="Y2757">
            <v>120.00000005587935</v>
          </cell>
          <cell r="Z2757">
            <v>3540.000001648441</v>
          </cell>
        </row>
        <row r="2758">
          <cell r="C2758" t="str">
            <v>KIRKLARELİ</v>
          </cell>
          <cell r="D2758" t="str">
            <v>PINARHİSAR</v>
          </cell>
          <cell r="H2758" t="str">
            <v>Dağıtım-AG</v>
          </cell>
          <cell r="I2758" t="str">
            <v>Uzun</v>
          </cell>
          <cell r="J2758" t="str">
            <v>Şebeke işletmecisi</v>
          </cell>
          <cell r="K2758" t="str">
            <v>Bildirimsiz</v>
          </cell>
          <cell r="O2758">
            <v>0</v>
          </cell>
          <cell r="P2758">
            <v>0</v>
          </cell>
          <cell r="Q2758">
            <v>0</v>
          </cell>
          <cell r="R2758">
            <v>62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929.9999997834675</v>
          </cell>
          <cell r="Y2758">
            <v>0</v>
          </cell>
          <cell r="Z2758">
            <v>0</v>
          </cell>
        </row>
        <row r="2759">
          <cell r="C2759" t="str">
            <v>KIRKLARELİ</v>
          </cell>
          <cell r="D2759" t="str">
            <v>PINARHİSAR</v>
          </cell>
          <cell r="H2759" t="str">
            <v>Dağıtım-AG</v>
          </cell>
          <cell r="I2759" t="str">
            <v>Uzun</v>
          </cell>
          <cell r="J2759" t="str">
            <v>Şebeke işletmecisi</v>
          </cell>
          <cell r="K2759" t="str">
            <v>Bildirimsiz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51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764.99999982188456</v>
          </cell>
        </row>
        <row r="2760">
          <cell r="C2760" t="str">
            <v>KIRKLARELİ</v>
          </cell>
          <cell r="D2760" t="str">
            <v>PINARHİSAR</v>
          </cell>
          <cell r="H2760" t="str">
            <v>Dağıtım-AG</v>
          </cell>
          <cell r="I2760" t="str">
            <v>Uzun</v>
          </cell>
          <cell r="J2760" t="str">
            <v>Şebeke işletmecisi</v>
          </cell>
          <cell r="K2760" t="str">
            <v>Bildirimsiz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31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464.99999989173375</v>
          </cell>
        </row>
        <row r="2761">
          <cell r="C2761" t="str">
            <v>EDİRNE</v>
          </cell>
          <cell r="D2761" t="str">
            <v>EDİRNEMERKEZ</v>
          </cell>
          <cell r="H2761" t="str">
            <v>Dağıtım-AG</v>
          </cell>
          <cell r="I2761" t="str">
            <v>Uzun</v>
          </cell>
          <cell r="J2761" t="str">
            <v>Şebeke işletmecisi</v>
          </cell>
          <cell r="K2761" t="str">
            <v>Bildirimsiz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42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629.99999985331669</v>
          </cell>
        </row>
        <row r="2762">
          <cell r="C2762" t="str">
            <v>KIRKLARELİ</v>
          </cell>
          <cell r="D2762" t="str">
            <v>DEMİRKÖY</v>
          </cell>
          <cell r="H2762" t="str">
            <v>Dağıtım-OG</v>
          </cell>
          <cell r="I2762" t="str">
            <v>Uzun</v>
          </cell>
          <cell r="J2762" t="str">
            <v>Şebeke işletmecisi</v>
          </cell>
          <cell r="K2762" t="str">
            <v>Bildirimsiz</v>
          </cell>
          <cell r="O2762">
            <v>0</v>
          </cell>
          <cell r="P2762">
            <v>0</v>
          </cell>
          <cell r="Q2762">
            <v>2</v>
          </cell>
          <cell r="R2762">
            <v>12</v>
          </cell>
          <cell r="S2762">
            <v>3</v>
          </cell>
          <cell r="T2762">
            <v>442</v>
          </cell>
          <cell r="U2762">
            <v>0</v>
          </cell>
          <cell r="V2762">
            <v>0</v>
          </cell>
          <cell r="W2762">
            <v>29.999999993015081</v>
          </cell>
          <cell r="X2762">
            <v>179.99999995809048</v>
          </cell>
          <cell r="Y2762">
            <v>44.999999989522621</v>
          </cell>
          <cell r="Z2762">
            <v>6629.9999984563328</v>
          </cell>
        </row>
        <row r="2763">
          <cell r="C2763" t="str">
            <v>TEKİRDAĞ</v>
          </cell>
          <cell r="D2763" t="str">
            <v>SÜLEYMANPAŞA</v>
          </cell>
          <cell r="H2763" t="str">
            <v>Dağıtım-AG</v>
          </cell>
          <cell r="I2763" t="str">
            <v>Uzun</v>
          </cell>
          <cell r="J2763" t="str">
            <v>Şebeke işletmecisi</v>
          </cell>
          <cell r="K2763" t="str">
            <v>Bildirimsiz</v>
          </cell>
          <cell r="O2763">
            <v>0</v>
          </cell>
          <cell r="P2763">
            <v>84</v>
          </cell>
          <cell r="Q2763">
            <v>0</v>
          </cell>
          <cell r="R2763">
            <v>1</v>
          </cell>
          <cell r="S2763">
            <v>0</v>
          </cell>
          <cell r="T2763">
            <v>0</v>
          </cell>
          <cell r="U2763">
            <v>0</v>
          </cell>
          <cell r="V2763">
            <v>1251.6000003833324</v>
          </cell>
          <cell r="W2763">
            <v>0</v>
          </cell>
          <cell r="X2763">
            <v>14.900000004563481</v>
          </cell>
          <cell r="Y2763">
            <v>0</v>
          </cell>
          <cell r="Z2763">
            <v>0</v>
          </cell>
        </row>
        <row r="2764">
          <cell r="C2764" t="str">
            <v>KIRKLARELİ</v>
          </cell>
          <cell r="D2764" t="str">
            <v>VİZE</v>
          </cell>
          <cell r="H2764" t="str">
            <v>Dağıtım-AG</v>
          </cell>
          <cell r="I2764" t="str">
            <v>Uzun</v>
          </cell>
          <cell r="J2764" t="str">
            <v>Şebeke işletmecisi</v>
          </cell>
          <cell r="K2764" t="str">
            <v>Bildirimsiz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34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506.03333335602656</v>
          </cell>
        </row>
        <row r="2765">
          <cell r="C2765" t="str">
            <v>TEKİRDAĞ</v>
          </cell>
          <cell r="D2765" t="str">
            <v>ÇERKEZKÖY</v>
          </cell>
          <cell r="H2765" t="str">
            <v>Dağıtım-OG</v>
          </cell>
          <cell r="I2765" t="str">
            <v>Uzun</v>
          </cell>
          <cell r="J2765" t="str">
            <v>Şebeke İşletmecisi</v>
          </cell>
          <cell r="K2765" t="str">
            <v>Bildirimsiz</v>
          </cell>
          <cell r="O2765">
            <v>13</v>
          </cell>
          <cell r="P2765">
            <v>240</v>
          </cell>
          <cell r="Q2765">
            <v>10</v>
          </cell>
          <cell r="R2765">
            <v>2090</v>
          </cell>
          <cell r="S2765">
            <v>0</v>
          </cell>
          <cell r="T2765">
            <v>0</v>
          </cell>
          <cell r="U2765">
            <v>193.48333334201016</v>
          </cell>
          <cell r="V2765">
            <v>3572.0000001601875</v>
          </cell>
          <cell r="W2765">
            <v>148.83333334000781</v>
          </cell>
          <cell r="X2765">
            <v>31106.166668061633</v>
          </cell>
          <cell r="Y2765">
            <v>0</v>
          </cell>
          <cell r="Z2765">
            <v>0</v>
          </cell>
        </row>
        <row r="2766">
          <cell r="C2766" t="str">
            <v>EDİRNE</v>
          </cell>
          <cell r="D2766" t="str">
            <v>EDİRNEMERKEZ</v>
          </cell>
          <cell r="H2766" t="str">
            <v>Dağıtım-OG</v>
          </cell>
          <cell r="I2766" t="str">
            <v>Uzun</v>
          </cell>
          <cell r="J2766" t="str">
            <v>Şebeke İşletmecisi</v>
          </cell>
          <cell r="K2766" t="str">
            <v>Bildirimsiz</v>
          </cell>
          <cell r="O2766">
            <v>4</v>
          </cell>
          <cell r="P2766">
            <v>108</v>
          </cell>
          <cell r="Q2766">
            <v>0</v>
          </cell>
          <cell r="R2766">
            <v>0</v>
          </cell>
          <cell r="S2766">
            <v>5</v>
          </cell>
          <cell r="T2766">
            <v>0</v>
          </cell>
          <cell r="U2766">
            <v>59.200000008568168</v>
          </cell>
          <cell r="V2766">
            <v>1598.4000002313405</v>
          </cell>
          <cell r="W2766">
            <v>0</v>
          </cell>
          <cell r="X2766">
            <v>0</v>
          </cell>
          <cell r="Y2766">
            <v>74.00000001071021</v>
          </cell>
          <cell r="Z2766">
            <v>0</v>
          </cell>
        </row>
        <row r="2767">
          <cell r="C2767" t="str">
            <v>TEKİRDAĞ</v>
          </cell>
          <cell r="D2767" t="str">
            <v>SÜLEYMANPAŞA</v>
          </cell>
          <cell r="H2767" t="str">
            <v>Dağıtım-AG</v>
          </cell>
          <cell r="I2767" t="str">
            <v>Uzun</v>
          </cell>
          <cell r="J2767" t="str">
            <v>Şebeke işletmecisi</v>
          </cell>
          <cell r="K2767" t="str">
            <v>Bildirimsiz</v>
          </cell>
          <cell r="O2767">
            <v>0</v>
          </cell>
          <cell r="P2767">
            <v>83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1228.4000001777895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</row>
        <row r="2768">
          <cell r="C2768" t="str">
            <v>EDİRNE</v>
          </cell>
          <cell r="D2768" t="str">
            <v>KEŞAN</v>
          </cell>
          <cell r="H2768" t="str">
            <v>Dağıtım-OG</v>
          </cell>
          <cell r="I2768" t="str">
            <v>Uzun</v>
          </cell>
          <cell r="J2768" t="str">
            <v>Şebeke İşletmecisi</v>
          </cell>
          <cell r="K2768" t="str">
            <v>Bildirimsiz</v>
          </cell>
          <cell r="O2768">
            <v>2</v>
          </cell>
          <cell r="P2768">
            <v>20</v>
          </cell>
          <cell r="Q2768">
            <v>0</v>
          </cell>
          <cell r="R2768">
            <v>0</v>
          </cell>
          <cell r="S2768">
            <v>17</v>
          </cell>
          <cell r="T2768">
            <v>16</v>
          </cell>
          <cell r="U2768">
            <v>29.599999983329326</v>
          </cell>
          <cell r="V2768">
            <v>295.99999983329326</v>
          </cell>
          <cell r="W2768">
            <v>0</v>
          </cell>
          <cell r="X2768">
            <v>0</v>
          </cell>
          <cell r="Y2768">
            <v>251.59999985829927</v>
          </cell>
          <cell r="Z2768">
            <v>236.79999986663461</v>
          </cell>
        </row>
        <row r="2769">
          <cell r="C2769" t="str">
            <v>TEKİRDAĞ</v>
          </cell>
          <cell r="D2769" t="str">
            <v>HAYRABOLU</v>
          </cell>
          <cell r="H2769" t="str">
            <v>Dağıtım-OG</v>
          </cell>
          <cell r="I2769" t="str">
            <v>Uzun</v>
          </cell>
          <cell r="J2769" t="str">
            <v>Şebeke işletmecisi</v>
          </cell>
          <cell r="K2769" t="str">
            <v>Bildirimsiz</v>
          </cell>
          <cell r="O2769">
            <v>0</v>
          </cell>
          <cell r="P2769">
            <v>1</v>
          </cell>
          <cell r="Q2769">
            <v>10</v>
          </cell>
          <cell r="R2769">
            <v>1220</v>
          </cell>
          <cell r="S2769">
            <v>0</v>
          </cell>
          <cell r="T2769">
            <v>264</v>
          </cell>
          <cell r="U2769">
            <v>0</v>
          </cell>
          <cell r="V2769">
            <v>14.733333340846002</v>
          </cell>
          <cell r="W2769">
            <v>147.33333340846002</v>
          </cell>
          <cell r="X2769">
            <v>17974.666675832123</v>
          </cell>
          <cell r="Y2769">
            <v>0</v>
          </cell>
          <cell r="Z2769">
            <v>3889.6000019833446</v>
          </cell>
        </row>
        <row r="2770">
          <cell r="C2770" t="str">
            <v>EDİRNE</v>
          </cell>
          <cell r="D2770" t="str">
            <v>EDİRNEMERKEZ</v>
          </cell>
          <cell r="H2770" t="str">
            <v>Dağıtım-OG</v>
          </cell>
          <cell r="I2770" t="str">
            <v>Uzun</v>
          </cell>
          <cell r="J2770" t="str">
            <v>Şebeke işletmecisi</v>
          </cell>
          <cell r="K2770" t="str">
            <v>Bildirimsiz</v>
          </cell>
          <cell r="O2770">
            <v>5</v>
          </cell>
          <cell r="P2770">
            <v>1029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73.666666651843116</v>
          </cell>
          <cell r="V2770">
            <v>15160.599996949313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</row>
        <row r="2771">
          <cell r="C2771" t="str">
            <v>EDİRNE</v>
          </cell>
          <cell r="D2771" t="str">
            <v>UZUNKÖPRÜ</v>
          </cell>
          <cell r="H2771" t="str">
            <v>Dağıtım-AG</v>
          </cell>
          <cell r="I2771" t="str">
            <v>Uzun</v>
          </cell>
          <cell r="J2771" t="str">
            <v>Şebeke işletmecisi</v>
          </cell>
          <cell r="K2771" t="str">
            <v>Bildirimsiz</v>
          </cell>
          <cell r="O2771">
            <v>0</v>
          </cell>
          <cell r="P2771">
            <v>1</v>
          </cell>
          <cell r="Q2771">
            <v>0</v>
          </cell>
          <cell r="R2771">
            <v>0</v>
          </cell>
          <cell r="S2771">
            <v>0</v>
          </cell>
          <cell r="T2771">
            <v>69</v>
          </cell>
          <cell r="U2771">
            <v>0</v>
          </cell>
          <cell r="V2771">
            <v>14.666666669072583</v>
          </cell>
          <cell r="W2771">
            <v>0</v>
          </cell>
          <cell r="X2771">
            <v>0</v>
          </cell>
          <cell r="Y2771">
            <v>0</v>
          </cell>
          <cell r="Z2771">
            <v>1012.0000001660082</v>
          </cell>
        </row>
        <row r="2772">
          <cell r="C2772" t="str">
            <v>TEKİRDAĞ</v>
          </cell>
          <cell r="D2772" t="str">
            <v>SÜLEYMANPAŞA</v>
          </cell>
          <cell r="H2772" t="str">
            <v>Dağıtım-AG</v>
          </cell>
          <cell r="I2772" t="str">
            <v>Uzun</v>
          </cell>
          <cell r="J2772" t="str">
            <v>Şebeke işletmecisi</v>
          </cell>
          <cell r="K2772" t="str">
            <v>Bildirimsiz</v>
          </cell>
          <cell r="O2772">
            <v>0</v>
          </cell>
          <cell r="P2772">
            <v>29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424.36666651046835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</row>
        <row r="2773">
          <cell r="C2773" t="str">
            <v>EDİRNE</v>
          </cell>
          <cell r="D2773" t="str">
            <v>MERİÇ</v>
          </cell>
          <cell r="H2773" t="str">
            <v>Dağıtım-OG</v>
          </cell>
          <cell r="I2773" t="str">
            <v>Uzun</v>
          </cell>
          <cell r="J2773" t="str">
            <v>Şebeke işletmecisi</v>
          </cell>
          <cell r="K2773" t="str">
            <v>Bildirimsiz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11</v>
          </cell>
          <cell r="T2773">
            <v>150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160.41666659410112</v>
          </cell>
          <cell r="Z2773">
            <v>2187.4999990104698</v>
          </cell>
        </row>
        <row r="2774">
          <cell r="C2774" t="str">
            <v>EDİRNE</v>
          </cell>
          <cell r="D2774" t="str">
            <v>UZUNKÖPRÜ</v>
          </cell>
          <cell r="H2774" t="str">
            <v>Dağıtım-AG</v>
          </cell>
          <cell r="I2774" t="str">
            <v>Uzun</v>
          </cell>
          <cell r="J2774" t="str">
            <v>Şebeke işletmecisi</v>
          </cell>
          <cell r="K2774" t="str">
            <v>Bildirimsiz</v>
          </cell>
          <cell r="O2774">
            <v>0</v>
          </cell>
          <cell r="P2774">
            <v>1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14.566666666651145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</row>
        <row r="2775">
          <cell r="C2775" t="str">
            <v>TEKİRDAĞ</v>
          </cell>
          <cell r="D2775" t="str">
            <v>ÇORLU</v>
          </cell>
          <cell r="H2775" t="str">
            <v>Dağıtım-OG</v>
          </cell>
          <cell r="I2775" t="str">
            <v>Uzun</v>
          </cell>
          <cell r="J2775" t="str">
            <v>Şebeke İşletmecisi</v>
          </cell>
          <cell r="K2775" t="str">
            <v>Bildirimsiz</v>
          </cell>
          <cell r="O2775">
            <v>0</v>
          </cell>
          <cell r="P2775">
            <v>2034</v>
          </cell>
          <cell r="Q2775">
            <v>0</v>
          </cell>
          <cell r="R2775">
            <v>0</v>
          </cell>
          <cell r="S2775">
            <v>0</v>
          </cell>
          <cell r="T2775">
            <v>1</v>
          </cell>
          <cell r="U2775">
            <v>0</v>
          </cell>
          <cell r="V2775">
            <v>29594.700013354886</v>
          </cell>
          <cell r="W2775">
            <v>0</v>
          </cell>
          <cell r="X2775">
            <v>0</v>
          </cell>
          <cell r="Y2775">
            <v>0</v>
          </cell>
          <cell r="Z2775">
            <v>14.550000006565824</v>
          </cell>
        </row>
        <row r="2776">
          <cell r="C2776" t="str">
            <v>TEKİRDAĞ</v>
          </cell>
          <cell r="D2776" t="str">
            <v>ŞARKÖY</v>
          </cell>
          <cell r="H2776" t="str">
            <v>Dağıtım-AG</v>
          </cell>
          <cell r="I2776" t="str">
            <v>Uzun</v>
          </cell>
          <cell r="J2776" t="str">
            <v>Şebeke işletmecisi</v>
          </cell>
          <cell r="K2776" t="str">
            <v>Bildirimsiz</v>
          </cell>
          <cell r="O2776">
            <v>0</v>
          </cell>
          <cell r="P2776">
            <v>0</v>
          </cell>
          <cell r="Q2776">
            <v>0</v>
          </cell>
          <cell r="R2776">
            <v>2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29.066666672006249</v>
          </cell>
          <cell r="Y2776">
            <v>0</v>
          </cell>
          <cell r="Z2776">
            <v>0</v>
          </cell>
        </row>
        <row r="2777">
          <cell r="C2777" t="str">
            <v>KIRKLARELİ</v>
          </cell>
          <cell r="D2777" t="str">
            <v>BABAESKİ</v>
          </cell>
          <cell r="H2777" t="str">
            <v>Dağıtım-OG</v>
          </cell>
          <cell r="I2777" t="str">
            <v>Uzun</v>
          </cell>
          <cell r="J2777" t="str">
            <v>Şebeke işletmecisi</v>
          </cell>
          <cell r="K2777" t="str">
            <v>Bildirimsiz</v>
          </cell>
          <cell r="O2777">
            <v>31</v>
          </cell>
          <cell r="P2777">
            <v>3</v>
          </cell>
          <cell r="Q2777">
            <v>0</v>
          </cell>
          <cell r="R2777">
            <v>0</v>
          </cell>
          <cell r="S2777">
            <v>2</v>
          </cell>
          <cell r="T2777">
            <v>0</v>
          </cell>
          <cell r="U2777">
            <v>449.50000016600825</v>
          </cell>
          <cell r="V2777">
            <v>43.500000016065314</v>
          </cell>
          <cell r="W2777">
            <v>0</v>
          </cell>
          <cell r="X2777">
            <v>0</v>
          </cell>
          <cell r="Y2777">
            <v>29.00000001071021</v>
          </cell>
          <cell r="Z2777">
            <v>0</v>
          </cell>
        </row>
        <row r="2778">
          <cell r="C2778" t="str">
            <v>KIRKLARELİ</v>
          </cell>
          <cell r="D2778" t="str">
            <v>LÜLEBURGAZ</v>
          </cell>
          <cell r="H2778" t="str">
            <v>Dağıtım-OG</v>
          </cell>
          <cell r="I2778" t="str">
            <v>Uzun</v>
          </cell>
          <cell r="J2778" t="str">
            <v>Şebeke işletmecisi</v>
          </cell>
          <cell r="K2778" t="str">
            <v>Bildirimsiz</v>
          </cell>
          <cell r="O2778">
            <v>0</v>
          </cell>
          <cell r="P2778">
            <v>0</v>
          </cell>
          <cell r="Q2778">
            <v>1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14.466666674707085</v>
          </cell>
          <cell r="X2778">
            <v>0</v>
          </cell>
          <cell r="Y2778">
            <v>0</v>
          </cell>
          <cell r="Z2778">
            <v>0</v>
          </cell>
        </row>
        <row r="2779">
          <cell r="C2779" t="str">
            <v>EDİRNE</v>
          </cell>
          <cell r="D2779" t="str">
            <v>UZUNKÖPRÜ</v>
          </cell>
          <cell r="H2779" t="str">
            <v>Dağıtım-OG</v>
          </cell>
          <cell r="I2779" t="str">
            <v>Uzun</v>
          </cell>
          <cell r="J2779" t="str">
            <v>Şebeke işletmecisi</v>
          </cell>
          <cell r="K2779" t="str">
            <v>Bildirimsiz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4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57.666666693985462</v>
          </cell>
          <cell r="Z2779">
            <v>0</v>
          </cell>
        </row>
        <row r="2780">
          <cell r="C2780" t="str">
            <v>KIRKLARELİ</v>
          </cell>
          <cell r="D2780" t="str">
            <v>KIRKLARELİMERKEZ</v>
          </cell>
          <cell r="H2780" t="str">
            <v>Dağıtım-OG</v>
          </cell>
          <cell r="I2780" t="str">
            <v>Uzun</v>
          </cell>
          <cell r="J2780" t="str">
            <v>Şebeke İşletmecisi</v>
          </cell>
          <cell r="K2780" t="str">
            <v>Bildirimsiz</v>
          </cell>
          <cell r="O2780">
            <v>0</v>
          </cell>
          <cell r="P2780">
            <v>0</v>
          </cell>
          <cell r="Q2780">
            <v>1</v>
          </cell>
          <cell r="R2780">
            <v>0</v>
          </cell>
          <cell r="S2780">
            <v>26</v>
          </cell>
          <cell r="T2780">
            <v>907</v>
          </cell>
          <cell r="U2780">
            <v>0</v>
          </cell>
          <cell r="V2780">
            <v>0</v>
          </cell>
          <cell r="W2780">
            <v>14.416666663018987</v>
          </cell>
          <cell r="X2780">
            <v>0</v>
          </cell>
          <cell r="Y2780">
            <v>374.83333323849365</v>
          </cell>
          <cell r="Z2780">
            <v>13075.916663358221</v>
          </cell>
        </row>
        <row r="2781">
          <cell r="C2781" t="str">
            <v>TEKİRDAĞ</v>
          </cell>
          <cell r="D2781" t="str">
            <v>ÇORLU</v>
          </cell>
          <cell r="H2781" t="str">
            <v>Dağıtım-OG</v>
          </cell>
          <cell r="I2781" t="str">
            <v>Uzun</v>
          </cell>
          <cell r="J2781" t="str">
            <v>Şebeke işletmecisi</v>
          </cell>
          <cell r="K2781" t="str">
            <v>Bildirimsiz</v>
          </cell>
          <cell r="O2781">
            <v>14</v>
          </cell>
          <cell r="P2781">
            <v>155</v>
          </cell>
          <cell r="Q2781">
            <v>0</v>
          </cell>
          <cell r="R2781">
            <v>0</v>
          </cell>
          <cell r="S2781">
            <v>2</v>
          </cell>
          <cell r="T2781">
            <v>0</v>
          </cell>
          <cell r="U2781">
            <v>201.83333328226581</v>
          </cell>
          <cell r="V2781">
            <v>2234.5833327679429</v>
          </cell>
          <cell r="W2781">
            <v>0</v>
          </cell>
          <cell r="X2781">
            <v>0</v>
          </cell>
          <cell r="Y2781">
            <v>28.833333326037973</v>
          </cell>
          <cell r="Z2781">
            <v>0</v>
          </cell>
        </row>
        <row r="2782">
          <cell r="C2782" t="str">
            <v>TEKİRDAĞ</v>
          </cell>
          <cell r="D2782" t="str">
            <v>SÜLEYMANPAŞA</v>
          </cell>
          <cell r="H2782" t="str">
            <v>Dağıtım-AG</v>
          </cell>
          <cell r="I2782" t="str">
            <v>Uzun</v>
          </cell>
          <cell r="J2782" t="str">
            <v>Şebeke işletmecisi</v>
          </cell>
          <cell r="K2782" t="str">
            <v>Bildirimsiz</v>
          </cell>
          <cell r="O2782">
            <v>0</v>
          </cell>
          <cell r="P2782">
            <v>32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460.79999975860119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</row>
        <row r="2783">
          <cell r="C2783" t="str">
            <v>KIRKLARELİ</v>
          </cell>
          <cell r="D2783" t="str">
            <v>BABAESKİ</v>
          </cell>
          <cell r="H2783" t="str">
            <v>Dağıtım-AG</v>
          </cell>
          <cell r="I2783" t="str">
            <v>Uzun</v>
          </cell>
          <cell r="J2783" t="str">
            <v>Şebeke işletmecisi</v>
          </cell>
          <cell r="K2783" t="str">
            <v>Bildirimsiz</v>
          </cell>
          <cell r="O2783">
            <v>0</v>
          </cell>
          <cell r="P2783">
            <v>60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862.999999942258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</row>
        <row r="2784">
          <cell r="C2784" t="str">
            <v>TEKİRDAĞ</v>
          </cell>
          <cell r="D2784" t="str">
            <v>MARMARAEREĞLİSİ</v>
          </cell>
          <cell r="H2784" t="str">
            <v>Dağıtım-AG</v>
          </cell>
          <cell r="I2784" t="str">
            <v>Uzun</v>
          </cell>
          <cell r="J2784" t="str">
            <v>Şebeke işletmecisi</v>
          </cell>
          <cell r="K2784" t="str">
            <v>Bildirimsiz</v>
          </cell>
          <cell r="O2784">
            <v>0</v>
          </cell>
          <cell r="P2784">
            <v>0</v>
          </cell>
          <cell r="Q2784">
            <v>0</v>
          </cell>
          <cell r="R2784">
            <v>115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1652.1666673128493</v>
          </cell>
          <cell r="Y2784">
            <v>0</v>
          </cell>
          <cell r="Z2784">
            <v>0</v>
          </cell>
        </row>
        <row r="2785">
          <cell r="C2785" t="str">
            <v>EDİRNE</v>
          </cell>
          <cell r="D2785" t="str">
            <v>HAVSA</v>
          </cell>
          <cell r="H2785" t="str">
            <v>Dağıtım-AG</v>
          </cell>
          <cell r="I2785" t="str">
            <v>Uzun</v>
          </cell>
          <cell r="J2785" t="str">
            <v>Şebeke işletmecisi</v>
          </cell>
          <cell r="K2785" t="str">
            <v>Bildirimsiz</v>
          </cell>
          <cell r="O2785">
            <v>0</v>
          </cell>
          <cell r="P2785">
            <v>13</v>
          </cell>
          <cell r="Q2785">
            <v>0</v>
          </cell>
          <cell r="R2785">
            <v>0</v>
          </cell>
          <cell r="S2785">
            <v>0</v>
          </cell>
          <cell r="T2785">
            <v>115</v>
          </cell>
          <cell r="U2785">
            <v>0</v>
          </cell>
          <cell r="V2785">
            <v>186.33333344128914</v>
          </cell>
          <cell r="W2785">
            <v>0</v>
          </cell>
          <cell r="X2785">
            <v>0</v>
          </cell>
          <cell r="Y2785">
            <v>0</v>
          </cell>
          <cell r="Z2785">
            <v>1648.333334288327</v>
          </cell>
        </row>
        <row r="2786">
          <cell r="C2786" t="str">
            <v>TEKİRDAĞ</v>
          </cell>
          <cell r="D2786" t="str">
            <v>MARMARAEREĞLİSİ</v>
          </cell>
          <cell r="H2786" t="str">
            <v>Dağıtım-AG</v>
          </cell>
          <cell r="I2786" t="str">
            <v>Uzun</v>
          </cell>
          <cell r="J2786" t="str">
            <v>Şebeke işletmecisi</v>
          </cell>
          <cell r="K2786" t="str">
            <v>Bildirimsiz</v>
          </cell>
          <cell r="O2786">
            <v>0</v>
          </cell>
          <cell r="P2786">
            <v>17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243.6666666297242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</row>
        <row r="2787">
          <cell r="C2787" t="str">
            <v>KIRKLARELİ</v>
          </cell>
          <cell r="D2787" t="str">
            <v>BABAESKİ</v>
          </cell>
          <cell r="H2787" t="str">
            <v>Dağıtım-AG</v>
          </cell>
          <cell r="I2787" t="str">
            <v>Uzun</v>
          </cell>
          <cell r="J2787" t="str">
            <v>Şebeke işletmecisi</v>
          </cell>
          <cell r="K2787" t="str">
            <v>Bildirimsiz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80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1144.0000000409782</v>
          </cell>
        </row>
        <row r="2788">
          <cell r="C2788" t="str">
            <v>EDİRNE</v>
          </cell>
          <cell r="D2788" t="str">
            <v>UZUNKÖPRÜ</v>
          </cell>
          <cell r="H2788" t="str">
            <v>Dağıtım-AG</v>
          </cell>
          <cell r="I2788" t="str">
            <v>Uzun</v>
          </cell>
          <cell r="J2788" t="str">
            <v>Şebeke işletmecisi</v>
          </cell>
          <cell r="K2788" t="str">
            <v>Bildirimsiz</v>
          </cell>
          <cell r="O2788">
            <v>0</v>
          </cell>
          <cell r="P2788">
            <v>0</v>
          </cell>
          <cell r="Q2788">
            <v>0</v>
          </cell>
          <cell r="R2788">
            <v>75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1072.5000000384171</v>
          </cell>
          <cell r="Y2788">
            <v>0</v>
          </cell>
          <cell r="Z2788">
            <v>0</v>
          </cell>
        </row>
        <row r="2789">
          <cell r="C2789" t="str">
            <v>KIRKLARELİ</v>
          </cell>
          <cell r="D2789" t="str">
            <v>BABAESKİ</v>
          </cell>
          <cell r="H2789" t="str">
            <v>Dağıtım-AG</v>
          </cell>
          <cell r="I2789" t="str">
            <v>Uzun</v>
          </cell>
          <cell r="J2789" t="str">
            <v>Şebeke işletmecisi</v>
          </cell>
          <cell r="K2789" t="str">
            <v>Bildirimsiz</v>
          </cell>
          <cell r="O2789">
            <v>0</v>
          </cell>
          <cell r="P2789">
            <v>79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1127.0666669192724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</row>
        <row r="2790">
          <cell r="C2790" t="str">
            <v>EDİRNE</v>
          </cell>
          <cell r="D2790" t="str">
            <v>EDİRNEMERKEZ</v>
          </cell>
          <cell r="H2790" t="str">
            <v>Dağıtım-OG</v>
          </cell>
          <cell r="I2790" t="str">
            <v>Uzun</v>
          </cell>
          <cell r="J2790" t="str">
            <v>Şebeke işletmecisi</v>
          </cell>
          <cell r="K2790" t="str">
            <v>Bildirimsiz</v>
          </cell>
          <cell r="O2790">
            <v>3</v>
          </cell>
          <cell r="P2790">
            <v>47</v>
          </cell>
          <cell r="Q2790">
            <v>0</v>
          </cell>
          <cell r="R2790">
            <v>0</v>
          </cell>
          <cell r="S2790">
            <v>2</v>
          </cell>
          <cell r="T2790">
            <v>0</v>
          </cell>
          <cell r="U2790">
            <v>42.750000029336661</v>
          </cell>
          <cell r="V2790">
            <v>669.75000045960769</v>
          </cell>
          <cell r="W2790">
            <v>0</v>
          </cell>
          <cell r="X2790">
            <v>0</v>
          </cell>
          <cell r="Y2790">
            <v>28.500000019557774</v>
          </cell>
          <cell r="Z2790">
            <v>0</v>
          </cell>
        </row>
        <row r="2791">
          <cell r="C2791" t="str">
            <v>TEKİRDAĞ</v>
          </cell>
          <cell r="D2791" t="str">
            <v>MARMARAEREĞLİSİ</v>
          </cell>
          <cell r="H2791" t="str">
            <v>Dağıtım-OG</v>
          </cell>
          <cell r="I2791" t="str">
            <v>Uzun</v>
          </cell>
          <cell r="J2791" t="str">
            <v>Şebeke işletmecisi</v>
          </cell>
          <cell r="K2791" t="str">
            <v>Bildirimsiz</v>
          </cell>
          <cell r="O2791">
            <v>4</v>
          </cell>
          <cell r="P2791">
            <v>3112</v>
          </cell>
          <cell r="Q2791">
            <v>4</v>
          </cell>
          <cell r="R2791">
            <v>11</v>
          </cell>
          <cell r="S2791">
            <v>1</v>
          </cell>
          <cell r="T2791">
            <v>0</v>
          </cell>
          <cell r="U2791">
            <v>56.799999992363155</v>
          </cell>
          <cell r="V2791">
            <v>44190.399994058535</v>
          </cell>
          <cell r="W2791">
            <v>56.799999992363155</v>
          </cell>
          <cell r="X2791">
            <v>156.19999997899868</v>
          </cell>
          <cell r="Y2791">
            <v>14.199999998090789</v>
          </cell>
          <cell r="Z2791">
            <v>0</v>
          </cell>
        </row>
        <row r="2792">
          <cell r="C2792" t="str">
            <v>TEKİRDAĞ</v>
          </cell>
          <cell r="D2792" t="str">
            <v>MALKARA</v>
          </cell>
          <cell r="H2792" t="str">
            <v>Dağıtım-AG</v>
          </cell>
          <cell r="I2792" t="str">
            <v>Uzun</v>
          </cell>
          <cell r="J2792" t="str">
            <v>Şebeke işletmecisi</v>
          </cell>
          <cell r="K2792" t="str">
            <v>Bildirimsiz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1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14.166666667442769</v>
          </cell>
        </row>
        <row r="2793">
          <cell r="C2793" t="str">
            <v>EDİRNE</v>
          </cell>
          <cell r="D2793" t="str">
            <v>ENEZ</v>
          </cell>
          <cell r="H2793" t="str">
            <v>Dağıtım-OG</v>
          </cell>
          <cell r="I2793" t="str">
            <v>Uzun</v>
          </cell>
          <cell r="J2793" t="str">
            <v>Şebeke işletmecisi</v>
          </cell>
          <cell r="K2793" t="str">
            <v>Bildirimsiz</v>
          </cell>
          <cell r="O2793">
            <v>0</v>
          </cell>
          <cell r="P2793">
            <v>0</v>
          </cell>
          <cell r="Q2793">
            <v>1</v>
          </cell>
          <cell r="R2793">
            <v>794</v>
          </cell>
          <cell r="S2793">
            <v>0</v>
          </cell>
          <cell r="T2793">
            <v>2</v>
          </cell>
          <cell r="U2793">
            <v>0</v>
          </cell>
          <cell r="V2793">
            <v>0</v>
          </cell>
          <cell r="W2793">
            <v>14.149999996880069</v>
          </cell>
          <cell r="X2793">
            <v>11235.099997522775</v>
          </cell>
          <cell r="Y2793">
            <v>0</v>
          </cell>
          <cell r="Z2793">
            <v>28.299999993760139</v>
          </cell>
        </row>
        <row r="2794">
          <cell r="C2794" t="str">
            <v>EDİRNE</v>
          </cell>
          <cell r="D2794" t="str">
            <v>KEŞAN</v>
          </cell>
          <cell r="H2794" t="str">
            <v>Dağıtım-AG</v>
          </cell>
          <cell r="I2794" t="str">
            <v>Uzun</v>
          </cell>
          <cell r="J2794" t="str">
            <v>Şebeke işletmecisi</v>
          </cell>
          <cell r="K2794" t="str">
            <v>Bildirimsiz</v>
          </cell>
          <cell r="O2794">
            <v>0</v>
          </cell>
          <cell r="P2794">
            <v>100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1408.333333558403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</row>
        <row r="2795">
          <cell r="C2795" t="str">
            <v>KIRKLARELİ</v>
          </cell>
          <cell r="D2795" t="str">
            <v>KIRKLARELİMERKEZ</v>
          </cell>
          <cell r="H2795" t="str">
            <v>Dağıtım-AG</v>
          </cell>
          <cell r="I2795" t="str">
            <v>Uzun</v>
          </cell>
          <cell r="J2795" t="str">
            <v>Şebeke işletmecisi</v>
          </cell>
          <cell r="K2795" t="str">
            <v>Bildirimli</v>
          </cell>
          <cell r="O2795">
            <v>0</v>
          </cell>
          <cell r="P2795">
            <v>453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6379.7500010195654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</row>
        <row r="2796">
          <cell r="C2796" t="str">
            <v>TEKİRDAĞ</v>
          </cell>
          <cell r="D2796" t="str">
            <v>SÜLEYMANPAŞA</v>
          </cell>
          <cell r="H2796" t="str">
            <v>Dağıtım-AG</v>
          </cell>
          <cell r="I2796" t="str">
            <v>Uzun</v>
          </cell>
          <cell r="J2796" t="str">
            <v>Şebeke işletmecisi</v>
          </cell>
          <cell r="K2796" t="str">
            <v>Bildirimsiz</v>
          </cell>
          <cell r="O2796">
            <v>0</v>
          </cell>
          <cell r="P2796">
            <v>63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887.24999948171899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</row>
        <row r="2797">
          <cell r="C2797" t="str">
            <v>TEKİRDAĞ</v>
          </cell>
          <cell r="D2797" t="str">
            <v>ÇERKEZKÖY</v>
          </cell>
          <cell r="H2797" t="str">
            <v>Dağıtım-OG</v>
          </cell>
          <cell r="I2797" t="str">
            <v>Uzun</v>
          </cell>
          <cell r="J2797" t="str">
            <v>Şebeke işletmecisi</v>
          </cell>
          <cell r="K2797" t="str">
            <v>Bildirimsiz</v>
          </cell>
          <cell r="O2797">
            <v>0</v>
          </cell>
          <cell r="P2797">
            <v>1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14.06666666502133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</row>
        <row r="2798">
          <cell r="C2798" t="str">
            <v>TEKİRDAĞ</v>
          </cell>
          <cell r="D2798" t="str">
            <v>MURATLI</v>
          </cell>
          <cell r="H2798" t="str">
            <v>Dağıtım-OG</v>
          </cell>
          <cell r="I2798" t="str">
            <v>Uzun</v>
          </cell>
          <cell r="J2798" t="str">
            <v>Şebeke işletmecisi</v>
          </cell>
          <cell r="K2798" t="str">
            <v>Bildirimsiz</v>
          </cell>
          <cell r="O2798">
            <v>14</v>
          </cell>
          <cell r="P2798">
            <v>465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196.93333331029862</v>
          </cell>
          <cell r="V2798">
            <v>6540.9999992349185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</row>
        <row r="2799">
          <cell r="C2799" t="str">
            <v>EDİRNE</v>
          </cell>
          <cell r="D2799" t="str">
            <v>UZUNKÖPRÜ</v>
          </cell>
          <cell r="H2799" t="str">
            <v>Dağıtım-AG</v>
          </cell>
          <cell r="I2799" t="str">
            <v>Uzun</v>
          </cell>
          <cell r="J2799" t="str">
            <v>Şebeke işletmecisi</v>
          </cell>
          <cell r="K2799" t="str">
            <v>Bildirimsiz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79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1107.3166664410383</v>
          </cell>
        </row>
        <row r="2800">
          <cell r="C2800" t="str">
            <v>EDİRNE</v>
          </cell>
          <cell r="D2800" t="str">
            <v>EDİRNEMERKEZ</v>
          </cell>
          <cell r="H2800" t="str">
            <v>Dağıtım-OG</v>
          </cell>
          <cell r="I2800" t="str">
            <v>Uzun</v>
          </cell>
          <cell r="J2800" t="str">
            <v>Şebeke işletmecisi</v>
          </cell>
          <cell r="K2800" t="str">
            <v>Bildirimsiz</v>
          </cell>
          <cell r="O2800">
            <v>0</v>
          </cell>
          <cell r="P2800">
            <v>2003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28042.000007461756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</row>
        <row r="2801">
          <cell r="C2801" t="str">
            <v>TEKİRDAĞ</v>
          </cell>
          <cell r="D2801" t="str">
            <v>ŞARKÖY</v>
          </cell>
          <cell r="H2801" t="str">
            <v>Dağıtım-OG</v>
          </cell>
          <cell r="I2801" t="str">
            <v>Uzun</v>
          </cell>
          <cell r="J2801" t="str">
            <v>Şebeke işletmecisi</v>
          </cell>
          <cell r="K2801" t="str">
            <v>Bildirimsiz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4</v>
          </cell>
          <cell r="T2801">
            <v>210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55.866666692309082</v>
          </cell>
          <cell r="Z2801">
            <v>2933.0000013462268</v>
          </cell>
        </row>
        <row r="2802">
          <cell r="C2802" t="str">
            <v>TEKİRDAĞ</v>
          </cell>
          <cell r="D2802" t="str">
            <v>ŞARKÖY</v>
          </cell>
          <cell r="H2802" t="str">
            <v>Dağıtım-AG</v>
          </cell>
          <cell r="I2802" t="str">
            <v>Uzun</v>
          </cell>
          <cell r="J2802" t="str">
            <v>Şebeke işletmecisi</v>
          </cell>
          <cell r="K2802" t="str">
            <v>Bildirimsiz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16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222.93333331122994</v>
          </cell>
        </row>
        <row r="2803">
          <cell r="C2803" t="str">
            <v>KIRKLARELİ</v>
          </cell>
          <cell r="D2803" t="str">
            <v>KIRKLARELİMERKEZ</v>
          </cell>
          <cell r="H2803" t="str">
            <v>Dağıtım-AG</v>
          </cell>
          <cell r="I2803" t="str">
            <v>Uzun</v>
          </cell>
          <cell r="J2803" t="str">
            <v>Şebeke işletmecisi</v>
          </cell>
          <cell r="K2803" t="str">
            <v>Bildirimsiz</v>
          </cell>
          <cell r="O2803">
            <v>0</v>
          </cell>
          <cell r="P2803">
            <v>593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8222.9333356989082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</row>
        <row r="2804">
          <cell r="C2804" t="str">
            <v>TEKİRDAĞ</v>
          </cell>
          <cell r="D2804" t="str">
            <v>ERGENE</v>
          </cell>
          <cell r="H2804" t="str">
            <v>Dağıtım-AG</v>
          </cell>
          <cell r="I2804" t="str">
            <v>Uzun</v>
          </cell>
          <cell r="J2804" t="str">
            <v>Şebeke işletmecisi</v>
          </cell>
          <cell r="K2804" t="str">
            <v>Bildirimsiz</v>
          </cell>
          <cell r="O2804">
            <v>0</v>
          </cell>
          <cell r="P2804">
            <v>73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1012.2666669578757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</row>
        <row r="2805">
          <cell r="C2805" t="str">
            <v>TEKİRDAĞ</v>
          </cell>
          <cell r="D2805" t="str">
            <v>MARMARAEREĞLİSİ</v>
          </cell>
          <cell r="H2805" t="str">
            <v>Dağıtım-AG</v>
          </cell>
          <cell r="I2805" t="str">
            <v>Uzun</v>
          </cell>
          <cell r="J2805" t="str">
            <v>Şebeke işletmecisi</v>
          </cell>
          <cell r="K2805" t="str">
            <v>Bildirimsiz</v>
          </cell>
          <cell r="O2805">
            <v>0</v>
          </cell>
          <cell r="P2805">
            <v>0</v>
          </cell>
          <cell r="Q2805">
            <v>0</v>
          </cell>
          <cell r="R2805">
            <v>18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249.30000000167638</v>
          </cell>
          <cell r="Y2805">
            <v>0</v>
          </cell>
          <cell r="Z2805">
            <v>0</v>
          </cell>
        </row>
        <row r="2806">
          <cell r="C2806" t="str">
            <v>TEKİRDAĞ</v>
          </cell>
          <cell r="D2806" t="str">
            <v>SÜLEYMANPAŞA</v>
          </cell>
          <cell r="H2806" t="str">
            <v>Dağıtım-OG</v>
          </cell>
          <cell r="I2806" t="str">
            <v>Uzun</v>
          </cell>
          <cell r="J2806" t="str">
            <v>Şebeke işletmecisi</v>
          </cell>
          <cell r="K2806" t="str">
            <v>Bildirimsiz</v>
          </cell>
          <cell r="O2806">
            <v>24</v>
          </cell>
          <cell r="P2806">
            <v>658</v>
          </cell>
          <cell r="Q2806">
            <v>0</v>
          </cell>
          <cell r="R2806">
            <v>0</v>
          </cell>
          <cell r="S2806">
            <v>1</v>
          </cell>
          <cell r="T2806">
            <v>2</v>
          </cell>
          <cell r="U2806">
            <v>1762.4000000953674</v>
          </cell>
          <cell r="V2806">
            <v>48319.13333594799</v>
          </cell>
          <cell r="W2806">
            <v>0</v>
          </cell>
          <cell r="X2806">
            <v>0</v>
          </cell>
          <cell r="Y2806">
            <v>73.433333337306976</v>
          </cell>
          <cell r="Z2806">
            <v>146.86666667461395</v>
          </cell>
        </row>
        <row r="2807">
          <cell r="C2807" t="str">
            <v>EDİRNE</v>
          </cell>
          <cell r="D2807" t="str">
            <v>UZUNKÖPRÜ</v>
          </cell>
          <cell r="H2807" t="str">
            <v>Dağıtım-OG</v>
          </cell>
          <cell r="I2807" t="str">
            <v>Uzun</v>
          </cell>
          <cell r="J2807" t="str">
            <v>Şebeke İşletmecisi</v>
          </cell>
          <cell r="K2807" t="str">
            <v>Bildirimsiz</v>
          </cell>
          <cell r="O2807">
            <v>1</v>
          </cell>
          <cell r="P2807">
            <v>0</v>
          </cell>
          <cell r="Q2807">
            <v>0</v>
          </cell>
          <cell r="R2807">
            <v>0</v>
          </cell>
          <cell r="S2807">
            <v>3</v>
          </cell>
          <cell r="T2807">
            <v>0</v>
          </cell>
          <cell r="U2807">
            <v>13.650000005727634</v>
          </cell>
          <cell r="V2807">
            <v>0</v>
          </cell>
          <cell r="W2807">
            <v>0</v>
          </cell>
          <cell r="X2807">
            <v>0</v>
          </cell>
          <cell r="Y2807">
            <v>40.950000017182902</v>
          </cell>
          <cell r="Z2807">
            <v>0</v>
          </cell>
        </row>
        <row r="2808">
          <cell r="C2808" t="str">
            <v>EDİRNE</v>
          </cell>
          <cell r="D2808" t="str">
            <v>MERİÇ</v>
          </cell>
          <cell r="H2808" t="str">
            <v>Dağıtım-AG</v>
          </cell>
          <cell r="I2808" t="str">
            <v>Uzun</v>
          </cell>
          <cell r="J2808" t="str">
            <v>Şebeke işletmecisi</v>
          </cell>
          <cell r="K2808" t="str">
            <v>Bildirimsiz</v>
          </cell>
          <cell r="O2808">
            <v>0</v>
          </cell>
          <cell r="P2808">
            <v>0</v>
          </cell>
          <cell r="Q2808">
            <v>0</v>
          </cell>
          <cell r="R2808">
            <v>81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1105.6499996152706</v>
          </cell>
          <cell r="Y2808">
            <v>0</v>
          </cell>
          <cell r="Z2808">
            <v>0</v>
          </cell>
        </row>
        <row r="2809">
          <cell r="C2809" t="str">
            <v>KIRKLARELİ</v>
          </cell>
          <cell r="D2809" t="str">
            <v>KIRKLARELİMERKEZ</v>
          </cell>
          <cell r="H2809" t="str">
            <v>Dağıtım-AG</v>
          </cell>
          <cell r="I2809" t="str">
            <v>Uzun</v>
          </cell>
          <cell r="J2809" t="str">
            <v>Şebeke işletmecisi</v>
          </cell>
          <cell r="K2809" t="str">
            <v>Bildirimsiz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6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81.300000019837171</v>
          </cell>
        </row>
        <row r="2810">
          <cell r="C2810" t="str">
            <v>EDİRNE</v>
          </cell>
          <cell r="D2810" t="str">
            <v>İPSALA</v>
          </cell>
          <cell r="H2810" t="str">
            <v>Dağıtım-AG</v>
          </cell>
          <cell r="I2810" t="str">
            <v>Uzun</v>
          </cell>
          <cell r="J2810" t="str">
            <v>Şebeke işletmecisi</v>
          </cell>
          <cell r="K2810" t="str">
            <v>Bildirimsiz</v>
          </cell>
          <cell r="O2810">
            <v>0</v>
          </cell>
          <cell r="P2810">
            <v>0</v>
          </cell>
          <cell r="Q2810">
            <v>0</v>
          </cell>
          <cell r="R2810">
            <v>23</v>
          </cell>
          <cell r="S2810">
            <v>0</v>
          </cell>
          <cell r="T2810">
            <v>1</v>
          </cell>
          <cell r="U2810">
            <v>0</v>
          </cell>
          <cell r="V2810">
            <v>0</v>
          </cell>
          <cell r="W2810">
            <v>0</v>
          </cell>
          <cell r="X2810">
            <v>311.2666666531004</v>
          </cell>
          <cell r="Y2810">
            <v>0</v>
          </cell>
          <cell r="Z2810">
            <v>13.533333332743496</v>
          </cell>
        </row>
        <row r="2811">
          <cell r="C2811" t="str">
            <v>TEKİRDAĞ</v>
          </cell>
          <cell r="D2811" t="str">
            <v>MALKARA</v>
          </cell>
          <cell r="H2811" t="str">
            <v>Dağıtım-AG</v>
          </cell>
          <cell r="I2811" t="str">
            <v>Uzun</v>
          </cell>
          <cell r="J2811" t="str">
            <v>Şebeke işletmecisi</v>
          </cell>
          <cell r="K2811" t="str">
            <v>Bildirimsiz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4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53.933333326131105</v>
          </cell>
        </row>
        <row r="2812">
          <cell r="C2812" t="str">
            <v>TEKİRDAĞ</v>
          </cell>
          <cell r="D2812" t="str">
            <v>ÇERKEZKÖY</v>
          </cell>
          <cell r="H2812" t="str">
            <v>Dağıtım-AG</v>
          </cell>
          <cell r="I2812" t="str">
            <v>Uzun</v>
          </cell>
          <cell r="J2812" t="str">
            <v>Şebeke işletmecisi</v>
          </cell>
          <cell r="K2812" t="str">
            <v>Bildirimsiz</v>
          </cell>
          <cell r="O2812">
            <v>0</v>
          </cell>
          <cell r="P2812">
            <v>37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498.88333326671273</v>
          </cell>
          <cell r="W2812">
            <v>0</v>
          </cell>
          <cell r="X2812">
            <v>0</v>
          </cell>
          <cell r="Y2812">
            <v>0</v>
          </cell>
          <cell r="Z2812">
            <v>0</v>
          </cell>
        </row>
        <row r="2813">
          <cell r="C2813" t="str">
            <v>KIRKLARELİ</v>
          </cell>
          <cell r="D2813" t="str">
            <v>KIRKLARELİMERKEZ</v>
          </cell>
          <cell r="H2813" t="str">
            <v>Dağıtım-OG</v>
          </cell>
          <cell r="I2813" t="str">
            <v>Uzun</v>
          </cell>
          <cell r="J2813" t="str">
            <v>Şebeke işletmecisi</v>
          </cell>
          <cell r="K2813" t="str">
            <v>Bildirimli</v>
          </cell>
          <cell r="O2813">
            <v>0</v>
          </cell>
          <cell r="P2813">
            <v>676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9103.466662815772</v>
          </cell>
          <cell r="W2813">
            <v>0</v>
          </cell>
          <cell r="X2813">
            <v>0</v>
          </cell>
          <cell r="Y2813">
            <v>0</v>
          </cell>
          <cell r="Z2813">
            <v>0</v>
          </cell>
        </row>
        <row r="2814">
          <cell r="C2814" t="str">
            <v>TEKİRDAĞ</v>
          </cell>
          <cell r="D2814" t="str">
            <v>MARMARAEREĞLİSİ</v>
          </cell>
          <cell r="H2814" t="str">
            <v>Dağıtım-AG</v>
          </cell>
          <cell r="I2814" t="str">
            <v>Uzun</v>
          </cell>
          <cell r="J2814" t="str">
            <v>Şebeke işletmecisi</v>
          </cell>
          <cell r="K2814" t="str">
            <v>Bildirimsiz</v>
          </cell>
          <cell r="O2814">
            <v>0</v>
          </cell>
          <cell r="P2814">
            <v>226</v>
          </cell>
          <cell r="Q2814">
            <v>0</v>
          </cell>
          <cell r="R2814">
            <v>1</v>
          </cell>
          <cell r="S2814">
            <v>0</v>
          </cell>
          <cell r="T2814">
            <v>0</v>
          </cell>
          <cell r="U2814">
            <v>0</v>
          </cell>
          <cell r="V2814">
            <v>3039.700000199955</v>
          </cell>
          <cell r="W2814">
            <v>0</v>
          </cell>
          <cell r="X2814">
            <v>13.450000000884756</v>
          </cell>
          <cell r="Y2814">
            <v>0</v>
          </cell>
          <cell r="Z2814">
            <v>0</v>
          </cell>
        </row>
        <row r="2815">
          <cell r="C2815" t="str">
            <v>EDİRNE</v>
          </cell>
          <cell r="D2815" t="str">
            <v>EDİRNEMERKEZ</v>
          </cell>
          <cell r="H2815" t="str">
            <v>Dağıtım-AG</v>
          </cell>
          <cell r="I2815" t="str">
            <v>Uzun</v>
          </cell>
          <cell r="J2815" t="str">
            <v>Şebeke işletmecisi</v>
          </cell>
          <cell r="K2815" t="str">
            <v>Bildirimsiz</v>
          </cell>
          <cell r="O2815">
            <v>0</v>
          </cell>
          <cell r="P2815">
            <v>20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267.99999999348074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</row>
        <row r="2816">
          <cell r="C2816" t="str">
            <v>KIRKLARELİ</v>
          </cell>
          <cell r="D2816" t="str">
            <v>KIRKLARELİMERKEZ</v>
          </cell>
          <cell r="H2816" t="str">
            <v>Dağıtım-AG</v>
          </cell>
          <cell r="I2816" t="str">
            <v>Uzun</v>
          </cell>
          <cell r="J2816" t="str">
            <v>Şebeke işletmecisi</v>
          </cell>
          <cell r="K2816" t="str">
            <v>Bildirimsiz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3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40.149999987334013</v>
          </cell>
        </row>
        <row r="2817">
          <cell r="C2817" t="str">
            <v>EDİRNE</v>
          </cell>
          <cell r="D2817" t="str">
            <v>UZUNKÖPRÜ</v>
          </cell>
          <cell r="H2817" t="str">
            <v>Dağıtım-OG</v>
          </cell>
          <cell r="I2817" t="str">
            <v>Uzun</v>
          </cell>
          <cell r="J2817" t="str">
            <v>Şebeke İşletmecisi</v>
          </cell>
          <cell r="K2817" t="str">
            <v>Bildirimsiz</v>
          </cell>
          <cell r="O2817">
            <v>0</v>
          </cell>
          <cell r="P2817">
            <v>626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8346.6666632657871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</row>
        <row r="2818">
          <cell r="C2818" t="str">
            <v>KIRKLARELİ</v>
          </cell>
          <cell r="D2818" t="str">
            <v>LÜLEBURGAZ</v>
          </cell>
          <cell r="H2818" t="str">
            <v>Dağıtım-AG</v>
          </cell>
          <cell r="I2818" t="str">
            <v>Uzun</v>
          </cell>
          <cell r="J2818" t="str">
            <v>Şebeke işletmecisi</v>
          </cell>
          <cell r="K2818" t="str">
            <v>Bildirimsiz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1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13.316666667815298</v>
          </cell>
        </row>
        <row r="2819">
          <cell r="C2819" t="str">
            <v>KIRKLARELİ</v>
          </cell>
          <cell r="D2819" t="str">
            <v>BABAESKİ</v>
          </cell>
          <cell r="H2819" t="str">
            <v>Dağıtım-OG</v>
          </cell>
          <cell r="I2819" t="str">
            <v>Uzun</v>
          </cell>
          <cell r="J2819" t="str">
            <v>Şebeke işletmecisi</v>
          </cell>
          <cell r="K2819" t="str">
            <v>Bildirimsiz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1</v>
          </cell>
          <cell r="T2819">
            <v>255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13.266666666604578</v>
          </cell>
          <cell r="Z2819">
            <v>3382.9999999841675</v>
          </cell>
        </row>
        <row r="2820">
          <cell r="C2820" t="str">
            <v>EDİRNE</v>
          </cell>
          <cell r="D2820" t="str">
            <v>KEŞAN</v>
          </cell>
          <cell r="H2820" t="str">
            <v>Dağıtım-OG</v>
          </cell>
          <cell r="I2820" t="str">
            <v>Uzun</v>
          </cell>
          <cell r="J2820" t="str">
            <v>Şebeke işletmecisi</v>
          </cell>
          <cell r="K2820" t="str">
            <v>Bildirimsiz</v>
          </cell>
          <cell r="O2820">
            <v>2</v>
          </cell>
          <cell r="P2820">
            <v>29</v>
          </cell>
          <cell r="Q2820">
            <v>0</v>
          </cell>
          <cell r="R2820">
            <v>3</v>
          </cell>
          <cell r="S2820">
            <v>0</v>
          </cell>
          <cell r="T2820">
            <v>0</v>
          </cell>
          <cell r="U2820">
            <v>26.499999992083758</v>
          </cell>
          <cell r="V2820">
            <v>384.24999988521449</v>
          </cell>
          <cell r="W2820">
            <v>0</v>
          </cell>
          <cell r="X2820">
            <v>39.749999988125637</v>
          </cell>
          <cell r="Y2820">
            <v>0</v>
          </cell>
          <cell r="Z2820">
            <v>0</v>
          </cell>
        </row>
        <row r="2821">
          <cell r="C2821" t="str">
            <v>EDİRNE</v>
          </cell>
          <cell r="D2821" t="str">
            <v>EDİRNEMERKEZ</v>
          </cell>
          <cell r="H2821" t="str">
            <v>Dağıtım-OG</v>
          </cell>
          <cell r="I2821" t="str">
            <v>Uzun</v>
          </cell>
          <cell r="J2821" t="str">
            <v>Şebeke işletmecisi</v>
          </cell>
          <cell r="K2821" t="str">
            <v>Bildirimsiz</v>
          </cell>
          <cell r="O2821">
            <v>1</v>
          </cell>
          <cell r="P2821">
            <v>0</v>
          </cell>
          <cell r="Q2821">
            <v>0</v>
          </cell>
          <cell r="R2821">
            <v>0</v>
          </cell>
          <cell r="S2821">
            <v>7</v>
          </cell>
          <cell r="T2821">
            <v>925</v>
          </cell>
          <cell r="U2821">
            <v>13.249999996041879</v>
          </cell>
          <cell r="V2821">
            <v>0</v>
          </cell>
          <cell r="W2821">
            <v>0</v>
          </cell>
          <cell r="X2821">
            <v>0</v>
          </cell>
          <cell r="Y2821">
            <v>92.749999972293153</v>
          </cell>
          <cell r="Z2821">
            <v>12256.249996338738</v>
          </cell>
        </row>
        <row r="2822">
          <cell r="C2822" t="str">
            <v>EDİRNE</v>
          </cell>
          <cell r="D2822" t="str">
            <v>UZUNKÖPRÜ</v>
          </cell>
          <cell r="H2822" t="str">
            <v>Dağıtım-OG</v>
          </cell>
          <cell r="I2822" t="str">
            <v>Uzun</v>
          </cell>
          <cell r="J2822" t="str">
            <v>Şebeke İşletmecisi</v>
          </cell>
          <cell r="K2822" t="str">
            <v>Bildirimsiz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24</v>
          </cell>
          <cell r="T2822">
            <v>746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317.19999996945262</v>
          </cell>
          <cell r="Z2822">
            <v>9859.6333323838189</v>
          </cell>
        </row>
        <row r="2823">
          <cell r="C2823" t="str">
            <v>TEKİRDAĞ</v>
          </cell>
          <cell r="D2823" t="str">
            <v>HAYRABOLU</v>
          </cell>
          <cell r="H2823" t="str">
            <v>Dağıtım-OG</v>
          </cell>
          <cell r="I2823" t="str">
            <v>Uzun</v>
          </cell>
          <cell r="J2823" t="str">
            <v>Şebeke işletmecisi</v>
          </cell>
          <cell r="K2823" t="str">
            <v>Bildirimsiz</v>
          </cell>
          <cell r="O2823">
            <v>0</v>
          </cell>
          <cell r="P2823">
            <v>0</v>
          </cell>
          <cell r="Q2823">
            <v>1</v>
          </cell>
          <cell r="R2823">
            <v>0</v>
          </cell>
          <cell r="S2823">
            <v>1</v>
          </cell>
          <cell r="T2823">
            <v>0</v>
          </cell>
          <cell r="U2823">
            <v>0</v>
          </cell>
          <cell r="V2823">
            <v>0</v>
          </cell>
          <cell r="W2823">
            <v>13.16666666418314</v>
          </cell>
          <cell r="X2823">
            <v>0</v>
          </cell>
          <cell r="Y2823">
            <v>13.16666666418314</v>
          </cell>
          <cell r="Z2823">
            <v>0</v>
          </cell>
        </row>
        <row r="2824">
          <cell r="C2824" t="str">
            <v>EDİRNE</v>
          </cell>
          <cell r="D2824" t="str">
            <v>ENEZ</v>
          </cell>
          <cell r="H2824" t="str">
            <v>Dağıtım-OG</v>
          </cell>
          <cell r="I2824" t="str">
            <v>Uzun</v>
          </cell>
          <cell r="J2824" t="str">
            <v>Şebeke İşletmecisi</v>
          </cell>
          <cell r="K2824" t="str">
            <v>Bildirimsiz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24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314.80000016279519</v>
          </cell>
          <cell r="Z2824">
            <v>0</v>
          </cell>
        </row>
        <row r="2825">
          <cell r="C2825" t="str">
            <v>EDİRNE</v>
          </cell>
          <cell r="D2825" t="str">
            <v>KEŞAN</v>
          </cell>
          <cell r="H2825" t="str">
            <v>Dağıtım-AG</v>
          </cell>
          <cell r="I2825" t="str">
            <v>Uzun</v>
          </cell>
          <cell r="J2825" t="str">
            <v>Şebeke işletmecisi</v>
          </cell>
          <cell r="K2825" t="str">
            <v>Bildirimsiz</v>
          </cell>
          <cell r="O2825">
            <v>0</v>
          </cell>
          <cell r="P2825">
            <v>13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170.08333332021721</v>
          </cell>
          <cell r="W2825">
            <v>0</v>
          </cell>
          <cell r="X2825">
            <v>0</v>
          </cell>
          <cell r="Y2825">
            <v>0</v>
          </cell>
          <cell r="Z2825">
            <v>0</v>
          </cell>
        </row>
        <row r="2826">
          <cell r="C2826" t="str">
            <v>TEKİRDAĞ</v>
          </cell>
          <cell r="D2826" t="str">
            <v>MARMARAEREĞLİSİ</v>
          </cell>
          <cell r="H2826" t="str">
            <v>Dağıtım-AG</v>
          </cell>
          <cell r="I2826" t="str">
            <v>Uzun</v>
          </cell>
          <cell r="J2826" t="str">
            <v>Şebeke işletmecisi</v>
          </cell>
          <cell r="K2826" t="str">
            <v>Bildirimsiz</v>
          </cell>
          <cell r="O2826">
            <v>0</v>
          </cell>
          <cell r="P2826">
            <v>5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65.3333333611954</v>
          </cell>
          <cell r="W2826">
            <v>0</v>
          </cell>
          <cell r="X2826">
            <v>0</v>
          </cell>
          <cell r="Y2826">
            <v>0</v>
          </cell>
          <cell r="Z2826">
            <v>0</v>
          </cell>
        </row>
        <row r="2827">
          <cell r="C2827" t="str">
            <v>KIRKLARELİ</v>
          </cell>
          <cell r="D2827" t="str">
            <v>KIRKLARELİMERKEZ</v>
          </cell>
          <cell r="H2827" t="str">
            <v>Dağıtım-AG</v>
          </cell>
          <cell r="I2827" t="str">
            <v>Uzun</v>
          </cell>
          <cell r="J2827" t="str">
            <v>Şebeke işletmecisi</v>
          </cell>
          <cell r="K2827" t="str">
            <v>Bildirimsiz</v>
          </cell>
          <cell r="O2827">
            <v>0</v>
          </cell>
          <cell r="P2827">
            <v>346</v>
          </cell>
          <cell r="Q2827">
            <v>0</v>
          </cell>
          <cell r="R2827">
            <v>0</v>
          </cell>
          <cell r="S2827">
            <v>0</v>
          </cell>
          <cell r="T2827">
            <v>1</v>
          </cell>
          <cell r="U2827">
            <v>0</v>
          </cell>
          <cell r="V2827">
            <v>4515.3000005800277</v>
          </cell>
          <cell r="W2827">
            <v>0</v>
          </cell>
          <cell r="X2827">
            <v>0</v>
          </cell>
          <cell r="Y2827">
            <v>0</v>
          </cell>
          <cell r="Z2827">
            <v>13.050000001676381</v>
          </cell>
        </row>
        <row r="2828">
          <cell r="C2828" t="str">
            <v>EDİRNE</v>
          </cell>
          <cell r="D2828" t="str">
            <v>UZUNKÖPRÜ</v>
          </cell>
          <cell r="H2828" t="str">
            <v>Dağıtım-OG</v>
          </cell>
          <cell r="I2828" t="str">
            <v>Uzun</v>
          </cell>
          <cell r="J2828" t="str">
            <v>Şebeke İşletmecisi</v>
          </cell>
          <cell r="K2828" t="str">
            <v>Bildirimsiz</v>
          </cell>
          <cell r="O2828">
            <v>3</v>
          </cell>
          <cell r="P2828">
            <v>0</v>
          </cell>
          <cell r="Q2828">
            <v>0</v>
          </cell>
          <cell r="R2828">
            <v>0</v>
          </cell>
          <cell r="S2828">
            <v>6</v>
          </cell>
          <cell r="T2828">
            <v>0</v>
          </cell>
          <cell r="U2828">
            <v>39.150000005029142</v>
          </cell>
          <cell r="V2828">
            <v>0</v>
          </cell>
          <cell r="W2828">
            <v>0</v>
          </cell>
          <cell r="X2828">
            <v>0</v>
          </cell>
          <cell r="Y2828">
            <v>78.300000010058284</v>
          </cell>
          <cell r="Z2828">
            <v>0</v>
          </cell>
        </row>
        <row r="2829">
          <cell r="C2829" t="str">
            <v>KIRKLARELİ</v>
          </cell>
          <cell r="D2829" t="str">
            <v>KIRKLARELİMERKEZ</v>
          </cell>
          <cell r="H2829" t="str">
            <v>Dağıtım-OG</v>
          </cell>
          <cell r="I2829" t="str">
            <v>Uzun</v>
          </cell>
          <cell r="J2829" t="str">
            <v>Şebeke işletmecisi</v>
          </cell>
          <cell r="K2829" t="str">
            <v>Bildirimsiz</v>
          </cell>
          <cell r="O2829">
            <v>12</v>
          </cell>
          <cell r="P2829">
            <v>15041</v>
          </cell>
          <cell r="Q2829">
            <v>0</v>
          </cell>
          <cell r="R2829">
            <v>13</v>
          </cell>
          <cell r="S2829">
            <v>0</v>
          </cell>
          <cell r="T2829">
            <v>12</v>
          </cell>
          <cell r="U2829">
            <v>156.39999997336417</v>
          </cell>
          <cell r="V2829">
            <v>196034.36663328088</v>
          </cell>
          <cell r="W2829">
            <v>0</v>
          </cell>
          <cell r="X2829">
            <v>169.43333330447786</v>
          </cell>
          <cell r="Y2829">
            <v>0</v>
          </cell>
          <cell r="Z2829">
            <v>156.39999997336417</v>
          </cell>
        </row>
        <row r="2830">
          <cell r="C2830" t="str">
            <v>EDİRNE</v>
          </cell>
          <cell r="D2830" t="str">
            <v>EDİRNEMERKEZ</v>
          </cell>
          <cell r="H2830" t="str">
            <v>Dağıtım-AG</v>
          </cell>
          <cell r="I2830" t="str">
            <v>Uzun</v>
          </cell>
          <cell r="J2830" t="str">
            <v>Şebeke işletmecisi</v>
          </cell>
          <cell r="K2830" t="str">
            <v>Bildirimsiz</v>
          </cell>
          <cell r="O2830">
            <v>0</v>
          </cell>
          <cell r="P2830">
            <v>36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467.40000025369227</v>
          </cell>
          <cell r="W2830">
            <v>0</v>
          </cell>
          <cell r="X2830">
            <v>0</v>
          </cell>
          <cell r="Y2830">
            <v>0</v>
          </cell>
          <cell r="Z2830">
            <v>0</v>
          </cell>
        </row>
        <row r="2831">
          <cell r="C2831" t="str">
            <v>KIRKLARELİ</v>
          </cell>
          <cell r="D2831" t="str">
            <v>PINARHİSAR</v>
          </cell>
          <cell r="H2831" t="str">
            <v>Dağıtım-OG</v>
          </cell>
          <cell r="I2831" t="str">
            <v>Uzun</v>
          </cell>
          <cell r="J2831" t="str">
            <v>Şebeke İşletmecisi</v>
          </cell>
          <cell r="K2831" t="str">
            <v>Bildirimsiz</v>
          </cell>
          <cell r="O2831">
            <v>0</v>
          </cell>
          <cell r="P2831">
            <v>0</v>
          </cell>
          <cell r="Q2831">
            <v>6</v>
          </cell>
          <cell r="R2831">
            <v>0</v>
          </cell>
          <cell r="S2831">
            <v>15</v>
          </cell>
          <cell r="T2831">
            <v>1888</v>
          </cell>
          <cell r="U2831">
            <v>0</v>
          </cell>
          <cell r="V2831">
            <v>0</v>
          </cell>
          <cell r="W2831">
            <v>77.899999979417771</v>
          </cell>
          <cell r="X2831">
            <v>0</v>
          </cell>
          <cell r="Y2831">
            <v>194.74999994854443</v>
          </cell>
          <cell r="Z2831">
            <v>24512.533326856792</v>
          </cell>
        </row>
        <row r="2832">
          <cell r="C2832" t="str">
            <v>TEKİRDAĞ</v>
          </cell>
          <cell r="D2832" t="str">
            <v>MURATLI</v>
          </cell>
          <cell r="H2832" t="str">
            <v>Dağıtım-AG</v>
          </cell>
          <cell r="I2832" t="str">
            <v>Uzun</v>
          </cell>
          <cell r="J2832" t="str">
            <v>Şebeke işletmecisi</v>
          </cell>
          <cell r="K2832" t="str">
            <v>Bildirimsiz</v>
          </cell>
          <cell r="O2832">
            <v>0</v>
          </cell>
          <cell r="P2832">
            <v>2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25.933333339635283</v>
          </cell>
          <cell r="W2832">
            <v>0</v>
          </cell>
          <cell r="X2832">
            <v>0</v>
          </cell>
          <cell r="Y2832">
            <v>0</v>
          </cell>
          <cell r="Z2832">
            <v>0</v>
          </cell>
        </row>
        <row r="2833">
          <cell r="C2833" t="str">
            <v>TEKİRDAĞ</v>
          </cell>
          <cell r="D2833" t="str">
            <v>SÜLEYMANPAŞA</v>
          </cell>
          <cell r="H2833" t="str">
            <v>Dağıtım-AG</v>
          </cell>
          <cell r="I2833" t="str">
            <v>Uzun</v>
          </cell>
          <cell r="J2833" t="str">
            <v>Şebeke işletmecisi</v>
          </cell>
          <cell r="K2833" t="str">
            <v>Bildirimsiz</v>
          </cell>
          <cell r="O2833">
            <v>0</v>
          </cell>
          <cell r="P2833">
            <v>79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1019.0999998454936</v>
          </cell>
          <cell r="W2833">
            <v>0</v>
          </cell>
          <cell r="X2833">
            <v>0</v>
          </cell>
          <cell r="Y2833">
            <v>0</v>
          </cell>
          <cell r="Z2833">
            <v>0</v>
          </cell>
        </row>
        <row r="2834">
          <cell r="C2834" t="str">
            <v>KIRKLARELİ</v>
          </cell>
          <cell r="D2834" t="str">
            <v>KIRKLARELİMERKEZ</v>
          </cell>
          <cell r="H2834" t="str">
            <v>Dağıtım-AG</v>
          </cell>
          <cell r="I2834" t="str">
            <v>Uzun</v>
          </cell>
          <cell r="J2834" t="str">
            <v>Şebeke işletmecisi</v>
          </cell>
          <cell r="K2834" t="str">
            <v>Bildirimsiz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1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12.883333337958902</v>
          </cell>
        </row>
        <row r="2835">
          <cell r="C2835" t="str">
            <v>EDİRNE</v>
          </cell>
          <cell r="D2835" t="str">
            <v>LALAPAŞA</v>
          </cell>
          <cell r="H2835" t="str">
            <v>Dağıtım-AG</v>
          </cell>
          <cell r="I2835" t="str">
            <v>Uzun</v>
          </cell>
          <cell r="J2835" t="str">
            <v>Şebeke işletmecisi</v>
          </cell>
          <cell r="K2835" t="str">
            <v>Bildirimsiz</v>
          </cell>
          <cell r="O2835">
            <v>0</v>
          </cell>
          <cell r="P2835">
            <v>0</v>
          </cell>
          <cell r="Q2835">
            <v>0</v>
          </cell>
          <cell r="R2835">
            <v>81</v>
          </cell>
          <cell r="S2835">
            <v>0</v>
          </cell>
          <cell r="T2835">
            <v>1</v>
          </cell>
          <cell r="U2835">
            <v>0</v>
          </cell>
          <cell r="V2835">
            <v>0</v>
          </cell>
          <cell r="W2835">
            <v>0</v>
          </cell>
          <cell r="X2835">
            <v>1042.2000000590924</v>
          </cell>
          <cell r="Y2835">
            <v>0</v>
          </cell>
          <cell r="Z2835">
            <v>12.866666667396203</v>
          </cell>
        </row>
        <row r="2836">
          <cell r="C2836" t="str">
            <v>KIRKLARELİ</v>
          </cell>
          <cell r="D2836" t="str">
            <v>KIRKLARELİMERKEZ</v>
          </cell>
          <cell r="H2836" t="str">
            <v>Dağıtım-AG</v>
          </cell>
          <cell r="I2836" t="str">
            <v>Uzun</v>
          </cell>
          <cell r="J2836" t="str">
            <v>Şebeke işletmecisi</v>
          </cell>
          <cell r="K2836" t="str">
            <v>Bildirimsiz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2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25.633333332370967</v>
          </cell>
        </row>
        <row r="2837">
          <cell r="C2837" t="str">
            <v>EDİRNE</v>
          </cell>
          <cell r="D2837" t="str">
            <v>UZUNKÖPRÜ</v>
          </cell>
          <cell r="H2837" t="str">
            <v>Dağıtım-OG</v>
          </cell>
          <cell r="I2837" t="str">
            <v>Uzun</v>
          </cell>
          <cell r="J2837" t="str">
            <v>Şebeke İşletmecisi</v>
          </cell>
          <cell r="K2837" t="str">
            <v>Bildirimsiz</v>
          </cell>
          <cell r="O2837">
            <v>15</v>
          </cell>
          <cell r="P2837">
            <v>781</v>
          </cell>
          <cell r="Q2837">
            <v>0</v>
          </cell>
          <cell r="R2837">
            <v>2</v>
          </cell>
          <cell r="S2837">
            <v>4</v>
          </cell>
          <cell r="T2837">
            <v>317</v>
          </cell>
          <cell r="U2837">
            <v>192.24999999278225</v>
          </cell>
          <cell r="V2837">
            <v>10009.816666290862</v>
          </cell>
          <cell r="W2837">
            <v>0</v>
          </cell>
          <cell r="X2837">
            <v>25.633333332370967</v>
          </cell>
          <cell r="Y2837">
            <v>51.266666664741933</v>
          </cell>
          <cell r="Z2837">
            <v>4062.8833331807982</v>
          </cell>
        </row>
        <row r="2838">
          <cell r="C2838" t="str">
            <v>KIRKLARELİ</v>
          </cell>
          <cell r="D2838" t="str">
            <v>KIRKLARELİMERKEZ</v>
          </cell>
          <cell r="H2838" t="str">
            <v>Dağıtım-OG</v>
          </cell>
          <cell r="I2838" t="str">
            <v>Uzun</v>
          </cell>
          <cell r="J2838" t="str">
            <v>Şebeke işletmecisi</v>
          </cell>
          <cell r="K2838" t="str">
            <v>Bildirimsiz</v>
          </cell>
          <cell r="O2838">
            <v>4</v>
          </cell>
          <cell r="P2838">
            <v>321</v>
          </cell>
          <cell r="Q2838">
            <v>3</v>
          </cell>
          <cell r="R2838">
            <v>9</v>
          </cell>
          <cell r="S2838">
            <v>0</v>
          </cell>
          <cell r="T2838">
            <v>0</v>
          </cell>
          <cell r="U2838">
            <v>51.199999982491136</v>
          </cell>
          <cell r="V2838">
            <v>4108.7999985949136</v>
          </cell>
          <cell r="W2838">
            <v>38.399999986868352</v>
          </cell>
          <cell r="X2838">
            <v>115.19999996060506</v>
          </cell>
          <cell r="Y2838">
            <v>0</v>
          </cell>
          <cell r="Z2838">
            <v>0</v>
          </cell>
        </row>
        <row r="2839">
          <cell r="C2839" t="str">
            <v>KIRKLARELİ</v>
          </cell>
          <cell r="D2839" t="str">
            <v>KIRKLARELİMERKEZ</v>
          </cell>
          <cell r="H2839" t="str">
            <v>Dağıtım-OG</v>
          </cell>
          <cell r="I2839" t="str">
            <v>Uzun</v>
          </cell>
          <cell r="J2839" t="str">
            <v>Şebeke İşletmecisi</v>
          </cell>
          <cell r="K2839" t="str">
            <v>Bildirimsiz</v>
          </cell>
          <cell r="O2839">
            <v>1</v>
          </cell>
          <cell r="P2839">
            <v>0</v>
          </cell>
          <cell r="Q2839">
            <v>0</v>
          </cell>
          <cell r="R2839">
            <v>0</v>
          </cell>
          <cell r="S2839">
            <v>3</v>
          </cell>
          <cell r="T2839">
            <v>0</v>
          </cell>
          <cell r="U2839">
            <v>12.783333335537463</v>
          </cell>
          <cell r="V2839">
            <v>0</v>
          </cell>
          <cell r="W2839">
            <v>0</v>
          </cell>
          <cell r="X2839">
            <v>0</v>
          </cell>
          <cell r="Y2839">
            <v>38.35000000661239</v>
          </cell>
          <cell r="Z2839">
            <v>0</v>
          </cell>
        </row>
        <row r="2840">
          <cell r="C2840" t="str">
            <v>TEKİRDAĞ</v>
          </cell>
          <cell r="D2840" t="str">
            <v>ÇORLU</v>
          </cell>
          <cell r="H2840" t="str">
            <v>Dağıtım-OG</v>
          </cell>
          <cell r="I2840" t="str">
            <v>Uzun</v>
          </cell>
          <cell r="J2840" t="str">
            <v>Şebeke İşletmecisi</v>
          </cell>
          <cell r="K2840" t="str">
            <v>Bildirimsiz</v>
          </cell>
          <cell r="O2840">
            <v>19</v>
          </cell>
          <cell r="P2840">
            <v>18</v>
          </cell>
          <cell r="Q2840">
            <v>0</v>
          </cell>
          <cell r="R2840">
            <v>0</v>
          </cell>
          <cell r="S2840">
            <v>0</v>
          </cell>
          <cell r="T2840">
            <v>1</v>
          </cell>
          <cell r="U2840">
            <v>241.93333315313794</v>
          </cell>
          <cell r="V2840">
            <v>229.19999982928857</v>
          </cell>
          <cell r="W2840">
            <v>0</v>
          </cell>
          <cell r="X2840">
            <v>0</v>
          </cell>
          <cell r="Y2840">
            <v>0</v>
          </cell>
          <cell r="Z2840">
            <v>12.733333323849365</v>
          </cell>
        </row>
        <row r="2841">
          <cell r="C2841" t="str">
            <v>TEKİRDAĞ</v>
          </cell>
          <cell r="D2841" t="str">
            <v>MALKARA</v>
          </cell>
          <cell r="H2841" t="str">
            <v>Dağıtım-AG</v>
          </cell>
          <cell r="I2841" t="str">
            <v>Uzun</v>
          </cell>
          <cell r="J2841" t="str">
            <v>Şebeke işletmecisi</v>
          </cell>
          <cell r="K2841" t="str">
            <v>Bildirimsiz</v>
          </cell>
          <cell r="O2841">
            <v>0</v>
          </cell>
          <cell r="P2841">
            <v>45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570.74999999022111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</row>
        <row r="2842">
          <cell r="C2842" t="str">
            <v>TEKİRDAĞ</v>
          </cell>
          <cell r="D2842" t="str">
            <v>MALKARA</v>
          </cell>
          <cell r="H2842" t="str">
            <v>Dağıtım-AG</v>
          </cell>
          <cell r="I2842" t="str">
            <v>Uzun</v>
          </cell>
          <cell r="J2842" t="str">
            <v>Şebeke işletmecisi</v>
          </cell>
          <cell r="K2842" t="str">
            <v>Bildirimsiz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9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113.85000002221204</v>
          </cell>
        </row>
        <row r="2843">
          <cell r="C2843" t="str">
            <v>EDİRNE</v>
          </cell>
          <cell r="D2843" t="str">
            <v>EDİRNEMERKEZ</v>
          </cell>
          <cell r="H2843" t="str">
            <v>Dağıtım-OG</v>
          </cell>
          <cell r="I2843" t="str">
            <v>Uzun</v>
          </cell>
          <cell r="J2843" t="str">
            <v>Şebeke işletmecisi</v>
          </cell>
          <cell r="K2843" t="str">
            <v>Bildirimsiz</v>
          </cell>
          <cell r="O2843">
            <v>0</v>
          </cell>
          <cell r="P2843">
            <v>1882</v>
          </cell>
          <cell r="Q2843">
            <v>0</v>
          </cell>
          <cell r="R2843">
            <v>0</v>
          </cell>
          <cell r="S2843">
            <v>1</v>
          </cell>
          <cell r="T2843">
            <v>3</v>
          </cell>
          <cell r="U2843">
            <v>0</v>
          </cell>
          <cell r="V2843">
            <v>23744.566656646784</v>
          </cell>
          <cell r="W2843">
            <v>0</v>
          </cell>
          <cell r="X2843">
            <v>0</v>
          </cell>
          <cell r="Y2843">
            <v>12.616666661342606</v>
          </cell>
          <cell r="Z2843">
            <v>37.849999984027818</v>
          </cell>
        </row>
        <row r="2844">
          <cell r="C2844" t="str">
            <v>TEKİRDAĞ</v>
          </cell>
          <cell r="D2844" t="str">
            <v>MARMARAEREĞLİSİ</v>
          </cell>
          <cell r="H2844" t="str">
            <v>Dağıtım-AG</v>
          </cell>
          <cell r="I2844" t="str">
            <v>Uzun</v>
          </cell>
          <cell r="J2844" t="str">
            <v>Şebeke işletmecisi</v>
          </cell>
          <cell r="K2844" t="str">
            <v>Bildirimsiz</v>
          </cell>
          <cell r="O2844">
            <v>0</v>
          </cell>
          <cell r="P2844">
            <v>0</v>
          </cell>
          <cell r="Q2844">
            <v>0</v>
          </cell>
          <cell r="R2844">
            <v>13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163.58333329902962</v>
          </cell>
          <cell r="Y2844">
            <v>0</v>
          </cell>
          <cell r="Z2844">
            <v>0</v>
          </cell>
        </row>
        <row r="2845">
          <cell r="C2845" t="str">
            <v>KIRKLARELİ</v>
          </cell>
          <cell r="D2845" t="str">
            <v>VİZE</v>
          </cell>
          <cell r="H2845" t="str">
            <v>Dağıtım-OG</v>
          </cell>
          <cell r="I2845" t="str">
            <v>Uzun</v>
          </cell>
          <cell r="J2845" t="str">
            <v>Şebeke işletmecisi</v>
          </cell>
          <cell r="K2845" t="str">
            <v>Bildirimsiz</v>
          </cell>
          <cell r="O2845">
            <v>0</v>
          </cell>
          <cell r="P2845">
            <v>0</v>
          </cell>
          <cell r="Q2845">
            <v>1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12.583333330694586</v>
          </cell>
          <cell r="X2845">
            <v>0</v>
          </cell>
          <cell r="Y2845">
            <v>0</v>
          </cell>
          <cell r="Z2845">
            <v>0</v>
          </cell>
        </row>
        <row r="2846">
          <cell r="C2846" t="str">
            <v>TEKİRDAĞ</v>
          </cell>
          <cell r="D2846" t="str">
            <v>ŞARKÖY</v>
          </cell>
          <cell r="H2846" t="str">
            <v>Dağıtım-AG</v>
          </cell>
          <cell r="I2846" t="str">
            <v>Uzun</v>
          </cell>
          <cell r="J2846" t="str">
            <v>Şebeke işletmecisi</v>
          </cell>
          <cell r="K2846" t="str">
            <v>Bildirimsiz</v>
          </cell>
          <cell r="O2846">
            <v>0</v>
          </cell>
          <cell r="P2846">
            <v>18</v>
          </cell>
          <cell r="Q2846">
            <v>0</v>
          </cell>
          <cell r="R2846">
            <v>0</v>
          </cell>
          <cell r="S2846">
            <v>0</v>
          </cell>
          <cell r="T2846">
            <v>6</v>
          </cell>
          <cell r="U2846">
            <v>0</v>
          </cell>
          <cell r="V2846">
            <v>226.20000007096678</v>
          </cell>
          <cell r="W2846">
            <v>0</v>
          </cell>
          <cell r="X2846">
            <v>0</v>
          </cell>
          <cell r="Y2846">
            <v>0</v>
          </cell>
          <cell r="Z2846">
            <v>75.400000023655593</v>
          </cell>
        </row>
        <row r="2847">
          <cell r="C2847" t="str">
            <v>TEKİRDAĞ</v>
          </cell>
          <cell r="D2847" t="str">
            <v>SÜLEYMANPAŞA</v>
          </cell>
          <cell r="H2847" t="str">
            <v>Dağıtım-AG</v>
          </cell>
          <cell r="I2847" t="str">
            <v>Uzun</v>
          </cell>
          <cell r="J2847" t="str">
            <v>Şebeke işletmecisi</v>
          </cell>
          <cell r="K2847" t="str">
            <v>Bildirimsiz</v>
          </cell>
          <cell r="O2847">
            <v>0</v>
          </cell>
          <cell r="P2847">
            <v>80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1004.0000000037253</v>
          </cell>
          <cell r="W2847">
            <v>0</v>
          </cell>
          <cell r="X2847">
            <v>0</v>
          </cell>
          <cell r="Y2847">
            <v>0</v>
          </cell>
          <cell r="Z2847">
            <v>0</v>
          </cell>
        </row>
        <row r="2848">
          <cell r="C2848" t="str">
            <v>KIRKLARELİ</v>
          </cell>
          <cell r="D2848" t="str">
            <v>KIRKLARELİMERKEZ</v>
          </cell>
          <cell r="H2848" t="str">
            <v>Dağıtım-OG</v>
          </cell>
          <cell r="I2848" t="str">
            <v>Uzun</v>
          </cell>
          <cell r="J2848" t="str">
            <v>Şebeke İşletmecisi</v>
          </cell>
          <cell r="K2848" t="str">
            <v>Bildirimsiz</v>
          </cell>
          <cell r="O2848">
            <v>4</v>
          </cell>
          <cell r="P2848">
            <v>0</v>
          </cell>
          <cell r="Q2848">
            <v>0</v>
          </cell>
          <cell r="R2848">
            <v>0</v>
          </cell>
          <cell r="S2848">
            <v>10</v>
          </cell>
          <cell r="T2848">
            <v>1</v>
          </cell>
          <cell r="U2848">
            <v>50.066666677594185</v>
          </cell>
          <cell r="V2848">
            <v>0</v>
          </cell>
          <cell r="W2848">
            <v>0</v>
          </cell>
          <cell r="X2848">
            <v>0</v>
          </cell>
          <cell r="Y2848">
            <v>125.16666669398546</v>
          </cell>
          <cell r="Z2848">
            <v>12.516666669398546</v>
          </cell>
        </row>
        <row r="2849">
          <cell r="C2849" t="str">
            <v>TEKİRDAĞ</v>
          </cell>
          <cell r="D2849" t="str">
            <v>ERGENE</v>
          </cell>
          <cell r="H2849" t="str">
            <v>Dağıtım-OG</v>
          </cell>
          <cell r="I2849" t="str">
            <v>Uzun</v>
          </cell>
          <cell r="J2849" t="str">
            <v>Şebeke İşletmecisi</v>
          </cell>
          <cell r="K2849" t="str">
            <v>Bildirimsiz</v>
          </cell>
          <cell r="O2849">
            <v>4</v>
          </cell>
          <cell r="P2849">
            <v>0</v>
          </cell>
          <cell r="Q2849">
            <v>0</v>
          </cell>
          <cell r="R2849">
            <v>0</v>
          </cell>
          <cell r="S2849">
            <v>29</v>
          </cell>
          <cell r="T2849">
            <v>0</v>
          </cell>
          <cell r="U2849">
            <v>50.066666677594185</v>
          </cell>
          <cell r="V2849">
            <v>0</v>
          </cell>
          <cell r="W2849">
            <v>0</v>
          </cell>
          <cell r="X2849">
            <v>0</v>
          </cell>
          <cell r="Y2849">
            <v>362.98333341255784</v>
          </cell>
          <cell r="Z2849">
            <v>0</v>
          </cell>
        </row>
        <row r="2850">
          <cell r="C2850" t="str">
            <v>KIRKLARELİ</v>
          </cell>
          <cell r="D2850" t="str">
            <v>VİZE</v>
          </cell>
          <cell r="H2850" t="str">
            <v>Dağıtım-OG</v>
          </cell>
          <cell r="I2850" t="str">
            <v>Uzun</v>
          </cell>
          <cell r="J2850" t="str">
            <v>Şebeke İşletmecisi</v>
          </cell>
          <cell r="K2850" t="str">
            <v>Bildirimsiz</v>
          </cell>
          <cell r="O2850">
            <v>0</v>
          </cell>
          <cell r="P2850">
            <v>12</v>
          </cell>
          <cell r="Q2850">
            <v>1</v>
          </cell>
          <cell r="R2850">
            <v>0</v>
          </cell>
          <cell r="S2850">
            <v>5</v>
          </cell>
          <cell r="T2850">
            <v>683</v>
          </cell>
          <cell r="U2850">
            <v>0</v>
          </cell>
          <cell r="V2850">
            <v>150.20000003278255</v>
          </cell>
          <cell r="W2850">
            <v>12.516666669398546</v>
          </cell>
          <cell r="X2850">
            <v>0</v>
          </cell>
          <cell r="Y2850">
            <v>62.583333346992731</v>
          </cell>
          <cell r="Z2850">
            <v>8548.8833351992071</v>
          </cell>
        </row>
        <row r="2851">
          <cell r="C2851" t="str">
            <v>TEKİRDAĞ</v>
          </cell>
          <cell r="D2851" t="str">
            <v>KAPAKLI</v>
          </cell>
          <cell r="H2851" t="str">
            <v>Dağıtım-AG</v>
          </cell>
          <cell r="I2851" t="str">
            <v>Uzun</v>
          </cell>
          <cell r="J2851" t="str">
            <v>Şebeke işletmecisi</v>
          </cell>
          <cell r="K2851" t="str">
            <v>Bildirimsiz</v>
          </cell>
          <cell r="O2851">
            <v>0</v>
          </cell>
          <cell r="P2851">
            <v>208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2596.5333344601095</v>
          </cell>
          <cell r="W2851">
            <v>0</v>
          </cell>
          <cell r="X2851">
            <v>0</v>
          </cell>
          <cell r="Y2851">
            <v>0</v>
          </cell>
          <cell r="Z2851">
            <v>0</v>
          </cell>
        </row>
        <row r="2852">
          <cell r="C2852" t="str">
            <v>EDİRNE</v>
          </cell>
          <cell r="D2852" t="str">
            <v>EDİRNEMERKEZ</v>
          </cell>
          <cell r="H2852" t="str">
            <v>Dağıtım-OG</v>
          </cell>
          <cell r="I2852" t="str">
            <v>Uzun</v>
          </cell>
          <cell r="J2852" t="str">
            <v>Şebeke işletmecisi</v>
          </cell>
          <cell r="K2852" t="str">
            <v>Bildirimsiz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18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224.69999990891665</v>
          </cell>
        </row>
        <row r="2853">
          <cell r="C2853" t="str">
            <v>TEKİRDAĞ</v>
          </cell>
          <cell r="D2853" t="str">
            <v>MURATLI</v>
          </cell>
          <cell r="H2853" t="str">
            <v>Dağıtım-OG</v>
          </cell>
          <cell r="I2853" t="str">
            <v>Uzun</v>
          </cell>
          <cell r="J2853" t="str">
            <v>Şebeke işletmecisi</v>
          </cell>
          <cell r="K2853" t="str">
            <v>Bildirimsiz</v>
          </cell>
          <cell r="O2853">
            <v>0</v>
          </cell>
          <cell r="P2853">
            <v>652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8117.4000052828342</v>
          </cell>
          <cell r="W2853">
            <v>0</v>
          </cell>
          <cell r="X2853">
            <v>0</v>
          </cell>
          <cell r="Y2853">
            <v>0</v>
          </cell>
          <cell r="Z2853">
            <v>0</v>
          </cell>
        </row>
        <row r="2854">
          <cell r="C2854" t="str">
            <v>TEKİRDAĞ</v>
          </cell>
          <cell r="D2854" t="str">
            <v>MARMARAEREĞLİSİ</v>
          </cell>
          <cell r="H2854" t="str">
            <v>Dağıtım-AG</v>
          </cell>
          <cell r="I2854" t="str">
            <v>Uzun</v>
          </cell>
          <cell r="J2854" t="str">
            <v>Şebeke İşletmecisi</v>
          </cell>
          <cell r="K2854" t="str">
            <v>Bildirimsiz</v>
          </cell>
          <cell r="O2854">
            <v>0</v>
          </cell>
          <cell r="P2854">
            <v>0</v>
          </cell>
          <cell r="Q2854">
            <v>0</v>
          </cell>
          <cell r="R2854">
            <v>17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210.80000011716038</v>
          </cell>
          <cell r="Y2854">
            <v>0</v>
          </cell>
          <cell r="Z2854">
            <v>0</v>
          </cell>
        </row>
        <row r="2855">
          <cell r="C2855" t="str">
            <v>KIRKLARELİ</v>
          </cell>
          <cell r="D2855" t="str">
            <v>BABAESKİ</v>
          </cell>
          <cell r="H2855" t="str">
            <v>Dağıtım-AG</v>
          </cell>
          <cell r="I2855" t="str">
            <v>Uzun</v>
          </cell>
          <cell r="J2855" t="str">
            <v>Şebeke işletmecisi</v>
          </cell>
          <cell r="K2855" t="str">
            <v>Bildirimsiz</v>
          </cell>
          <cell r="O2855">
            <v>0</v>
          </cell>
          <cell r="P2855">
            <v>96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1190.3999996557832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</row>
        <row r="2856">
          <cell r="C2856" t="str">
            <v>TEKİRDAĞ</v>
          </cell>
          <cell r="D2856" t="str">
            <v>SÜLEYMANPAŞA</v>
          </cell>
          <cell r="H2856" t="str">
            <v>Dağıtım-AG</v>
          </cell>
          <cell r="I2856" t="str">
            <v>Uzun</v>
          </cell>
          <cell r="J2856" t="str">
            <v>Şebeke işletmecisi</v>
          </cell>
          <cell r="K2856" t="str">
            <v>Bildirimsiz</v>
          </cell>
          <cell r="O2856">
            <v>0</v>
          </cell>
          <cell r="P2856">
            <v>13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161.19999995338731</v>
          </cell>
          <cell r="W2856">
            <v>0</v>
          </cell>
          <cell r="X2856">
            <v>0</v>
          </cell>
          <cell r="Y2856">
            <v>0</v>
          </cell>
          <cell r="Z2856">
            <v>0</v>
          </cell>
        </row>
        <row r="2857">
          <cell r="C2857" t="str">
            <v>EDİRNE</v>
          </cell>
          <cell r="D2857" t="str">
            <v>ENEZ</v>
          </cell>
          <cell r="H2857" t="str">
            <v>Dağıtım-OG</v>
          </cell>
          <cell r="I2857" t="str">
            <v>Uzun</v>
          </cell>
          <cell r="J2857" t="str">
            <v>Şebeke İşletmecisi</v>
          </cell>
          <cell r="K2857" t="str">
            <v>Bildirimsiz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1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12.383333325851709</v>
          </cell>
          <cell r="Z2857">
            <v>0</v>
          </cell>
        </row>
        <row r="2858">
          <cell r="C2858" t="str">
            <v>TEKİRDAĞ</v>
          </cell>
          <cell r="D2858" t="str">
            <v>HAYRABOLU</v>
          </cell>
          <cell r="H2858" t="str">
            <v>Dağıtım-OG</v>
          </cell>
          <cell r="I2858" t="str">
            <v>Uzun</v>
          </cell>
          <cell r="J2858" t="str">
            <v>Şebeke işletmecisi</v>
          </cell>
          <cell r="K2858" t="str">
            <v>Bildirimsiz</v>
          </cell>
          <cell r="O2858">
            <v>0</v>
          </cell>
          <cell r="P2858">
            <v>0</v>
          </cell>
          <cell r="Q2858">
            <v>0</v>
          </cell>
          <cell r="R2858">
            <v>147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  <cell r="X2858">
            <v>1817.8999998676591</v>
          </cell>
          <cell r="Y2858">
            <v>0</v>
          </cell>
          <cell r="Z2858">
            <v>0</v>
          </cell>
        </row>
        <row r="2859">
          <cell r="C2859" t="str">
            <v>KIRKLARELİ</v>
          </cell>
          <cell r="D2859" t="str">
            <v>KIRKLARELİMERKEZ</v>
          </cell>
          <cell r="H2859" t="str">
            <v>Dağıtım-AG</v>
          </cell>
          <cell r="I2859" t="str">
            <v>Uzun</v>
          </cell>
          <cell r="J2859" t="str">
            <v>Şebeke işletmecisi</v>
          </cell>
          <cell r="K2859" t="str">
            <v>Bildirimsiz</v>
          </cell>
          <cell r="O2859">
            <v>0</v>
          </cell>
          <cell r="P2859">
            <v>14</v>
          </cell>
          <cell r="Q2859">
            <v>0</v>
          </cell>
          <cell r="R2859">
            <v>121</v>
          </cell>
          <cell r="S2859">
            <v>0</v>
          </cell>
          <cell r="T2859">
            <v>0</v>
          </cell>
          <cell r="U2859">
            <v>0</v>
          </cell>
          <cell r="V2859">
            <v>172.89999993285164</v>
          </cell>
          <cell r="W2859">
            <v>0</v>
          </cell>
          <cell r="X2859">
            <v>1494.3499994196463</v>
          </cell>
          <cell r="Y2859">
            <v>0</v>
          </cell>
          <cell r="Z2859">
            <v>0</v>
          </cell>
        </row>
        <row r="2860">
          <cell r="C2860" t="str">
            <v>TEKİRDAĞ</v>
          </cell>
          <cell r="D2860" t="str">
            <v>ŞARKÖY</v>
          </cell>
          <cell r="H2860" t="str">
            <v>Dağıtım-OG</v>
          </cell>
          <cell r="I2860" t="str">
            <v>Uzun</v>
          </cell>
          <cell r="J2860" t="str">
            <v>Şebeke İşletmecisi</v>
          </cell>
          <cell r="K2860" t="str">
            <v>Bildirimsiz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4</v>
          </cell>
          <cell r="T2860">
            <v>8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>
            <v>49.333333340473473</v>
          </cell>
          <cell r="Z2860">
            <v>98.666666680946946</v>
          </cell>
        </row>
        <row r="2861">
          <cell r="C2861" t="str">
            <v>TEKİRDAĞ</v>
          </cell>
          <cell r="D2861" t="str">
            <v>SÜLEYMANPAŞA</v>
          </cell>
          <cell r="H2861" t="str">
            <v>Dağıtım-AG</v>
          </cell>
          <cell r="I2861" t="str">
            <v>Uzun</v>
          </cell>
          <cell r="J2861" t="str">
            <v>Şebeke işletmecisi</v>
          </cell>
          <cell r="K2861" t="str">
            <v>Bildirimsiz</v>
          </cell>
          <cell r="O2861">
            <v>0</v>
          </cell>
          <cell r="P2861">
            <v>19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233.06666680262424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</row>
        <row r="2862">
          <cell r="C2862" t="str">
            <v>TEKİRDAĞ</v>
          </cell>
          <cell r="D2862" t="str">
            <v>SÜLEYMANPAŞA</v>
          </cell>
          <cell r="H2862" t="str">
            <v>Dağıtım-AG</v>
          </cell>
          <cell r="I2862" t="str">
            <v>Uzun</v>
          </cell>
          <cell r="J2862" t="str">
            <v>Şebeke işletmecisi</v>
          </cell>
          <cell r="K2862" t="str">
            <v>Bildirimsiz</v>
          </cell>
          <cell r="O2862">
            <v>0</v>
          </cell>
          <cell r="P2862">
            <v>43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527.46666652383283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</row>
        <row r="2863">
          <cell r="C2863" t="str">
            <v>TEKİRDAĞ</v>
          </cell>
          <cell r="D2863" t="str">
            <v>KAPAKLI</v>
          </cell>
          <cell r="H2863" t="str">
            <v>Dağıtım-OG</v>
          </cell>
          <cell r="I2863" t="str">
            <v>Uzun</v>
          </cell>
          <cell r="J2863" t="str">
            <v>Şebeke işletmecisi</v>
          </cell>
          <cell r="K2863" t="str">
            <v>Bildirimli</v>
          </cell>
          <cell r="O2863">
            <v>20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>
            <v>244.3333332426846</v>
          </cell>
          <cell r="V2863">
            <v>0</v>
          </cell>
          <cell r="W2863">
            <v>0</v>
          </cell>
          <cell r="X2863">
            <v>0</v>
          </cell>
          <cell r="Y2863">
            <v>0</v>
          </cell>
          <cell r="Z2863">
            <v>0</v>
          </cell>
        </row>
        <row r="2864">
          <cell r="C2864" t="str">
            <v>KIRKLARELİ</v>
          </cell>
          <cell r="D2864" t="str">
            <v>VİZE</v>
          </cell>
          <cell r="H2864" t="str">
            <v>Dağıtım-AG</v>
          </cell>
          <cell r="I2864" t="str">
            <v>Uzun</v>
          </cell>
          <cell r="J2864" t="str">
            <v>Şebeke işletmecisi</v>
          </cell>
          <cell r="K2864" t="str">
            <v>Bildirimsiz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1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12.18333333148621</v>
          </cell>
        </row>
        <row r="2865">
          <cell r="C2865" t="str">
            <v>KIRKLARELİ</v>
          </cell>
          <cell r="D2865" t="str">
            <v>BABAESKİ</v>
          </cell>
          <cell r="H2865" t="str">
            <v>Dağıtım-AG</v>
          </cell>
          <cell r="I2865" t="str">
            <v>Uzun</v>
          </cell>
          <cell r="J2865" t="str">
            <v>Şebeke işletmecisi</v>
          </cell>
          <cell r="K2865" t="str">
            <v>Bildirimsiz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34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413.10000002849847</v>
          </cell>
        </row>
        <row r="2866">
          <cell r="C2866" t="str">
            <v>KIRKLARELİ</v>
          </cell>
          <cell r="D2866" t="str">
            <v>VİZE</v>
          </cell>
          <cell r="H2866" t="str">
            <v>Dağıtım-AG</v>
          </cell>
          <cell r="I2866" t="str">
            <v>Uzun</v>
          </cell>
          <cell r="J2866" t="str">
            <v>Şebeke işletmecisi</v>
          </cell>
          <cell r="K2866" t="str">
            <v>Bildirimsiz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1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12.099999999627471</v>
          </cell>
        </row>
        <row r="2867">
          <cell r="C2867" t="str">
            <v>TEKİRDAĞ</v>
          </cell>
          <cell r="D2867" t="str">
            <v>SARAY</v>
          </cell>
          <cell r="H2867" t="str">
            <v>Dağıtım-AG</v>
          </cell>
          <cell r="I2867" t="str">
            <v>Uzun</v>
          </cell>
          <cell r="J2867" t="str">
            <v>Şebeke işletmecisi</v>
          </cell>
          <cell r="K2867" t="str">
            <v>Bildirimsiz</v>
          </cell>
          <cell r="O2867">
            <v>0</v>
          </cell>
          <cell r="P2867">
            <v>0</v>
          </cell>
          <cell r="Q2867">
            <v>0</v>
          </cell>
          <cell r="R2867">
            <v>17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205.69999999366701</v>
          </cell>
          <cell r="Y2867">
            <v>0</v>
          </cell>
          <cell r="Z2867">
            <v>0</v>
          </cell>
        </row>
        <row r="2868">
          <cell r="C2868" t="str">
            <v>EDİRNE</v>
          </cell>
          <cell r="D2868" t="str">
            <v>EDİRNEMERKEZ</v>
          </cell>
          <cell r="H2868" t="str">
            <v>Dağıtım-OG</v>
          </cell>
          <cell r="I2868" t="str">
            <v>Uzun</v>
          </cell>
          <cell r="J2868" t="str">
            <v>Şebeke İşletmecisi</v>
          </cell>
          <cell r="K2868" t="str">
            <v>Bildirimsiz</v>
          </cell>
          <cell r="O2868">
            <v>2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24.166666679084301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0</v>
          </cell>
        </row>
        <row r="2869">
          <cell r="C2869" t="str">
            <v>EDİRNE</v>
          </cell>
          <cell r="D2869" t="str">
            <v>KEŞAN</v>
          </cell>
          <cell r="H2869" t="str">
            <v>Dağıtım-OG</v>
          </cell>
          <cell r="I2869" t="str">
            <v>Uzun</v>
          </cell>
          <cell r="J2869" t="str">
            <v>Şebeke İşletmecisi</v>
          </cell>
          <cell r="K2869" t="str">
            <v>Bildirimsiz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125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1508.3333336224314</v>
          </cell>
        </row>
        <row r="2870">
          <cell r="C2870" t="str">
            <v>TEKİRDAĞ</v>
          </cell>
          <cell r="D2870" t="str">
            <v>ÇERKEZKÖY</v>
          </cell>
          <cell r="H2870" t="str">
            <v>Dağıtım-OG</v>
          </cell>
          <cell r="I2870" t="str">
            <v>Uzun</v>
          </cell>
          <cell r="J2870" t="str">
            <v>Şebeke İşletmecisi</v>
          </cell>
          <cell r="K2870" t="str">
            <v>Bildirimsiz</v>
          </cell>
          <cell r="O2870">
            <v>1</v>
          </cell>
          <cell r="P2870">
            <v>3547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12.049999998416752</v>
          </cell>
          <cell r="V2870">
            <v>42741.349994384218</v>
          </cell>
          <cell r="W2870">
            <v>0</v>
          </cell>
          <cell r="X2870">
            <v>0</v>
          </cell>
          <cell r="Y2870">
            <v>0</v>
          </cell>
          <cell r="Z2870">
            <v>0</v>
          </cell>
        </row>
        <row r="2871">
          <cell r="C2871" t="str">
            <v>TEKİRDAĞ</v>
          </cell>
          <cell r="D2871" t="str">
            <v>ŞARKÖY</v>
          </cell>
          <cell r="H2871" t="str">
            <v>Dağıtım-OG</v>
          </cell>
          <cell r="I2871" t="str">
            <v>Uzun</v>
          </cell>
          <cell r="J2871" t="str">
            <v>Şebeke İşletmecisi</v>
          </cell>
          <cell r="K2871" t="str">
            <v>Bildirimsiz</v>
          </cell>
          <cell r="O2871">
            <v>0</v>
          </cell>
          <cell r="P2871">
            <v>0</v>
          </cell>
          <cell r="Q2871">
            <v>1</v>
          </cell>
          <cell r="R2871">
            <v>526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12.016666667768732</v>
          </cell>
          <cell r="X2871">
            <v>6320.7666672463529</v>
          </cell>
          <cell r="Y2871">
            <v>0</v>
          </cell>
          <cell r="Z2871">
            <v>0</v>
          </cell>
        </row>
        <row r="2872">
          <cell r="C2872" t="str">
            <v>EDİRNE</v>
          </cell>
          <cell r="D2872" t="str">
            <v>UZUNKÖPRÜ</v>
          </cell>
          <cell r="H2872" t="str">
            <v>Dağıtım-AG</v>
          </cell>
          <cell r="I2872" t="str">
            <v>Uzun</v>
          </cell>
          <cell r="J2872" t="str">
            <v>Şebeke işletmecisi</v>
          </cell>
          <cell r="K2872" t="str">
            <v>Bildirimsiz</v>
          </cell>
          <cell r="O2872">
            <v>0</v>
          </cell>
          <cell r="P2872">
            <v>87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1045.4500000958797</v>
          </cell>
          <cell r="W2872">
            <v>0</v>
          </cell>
          <cell r="X2872">
            <v>0</v>
          </cell>
          <cell r="Y2872">
            <v>0</v>
          </cell>
          <cell r="Z2872">
            <v>0</v>
          </cell>
        </row>
        <row r="2873">
          <cell r="C2873" t="str">
            <v>EDİRNE</v>
          </cell>
          <cell r="D2873" t="str">
            <v>UZUNKÖPRÜ</v>
          </cell>
          <cell r="H2873" t="str">
            <v>Dağıtım-AG</v>
          </cell>
          <cell r="I2873" t="str">
            <v>Uzun</v>
          </cell>
          <cell r="J2873" t="str">
            <v>Şebeke işletmecisi</v>
          </cell>
          <cell r="K2873" t="str">
            <v>Bildirimsiz</v>
          </cell>
          <cell r="O2873">
            <v>0</v>
          </cell>
          <cell r="P2873">
            <v>1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11.999999997206032</v>
          </cell>
          <cell r="W2873">
            <v>0</v>
          </cell>
          <cell r="X2873">
            <v>0</v>
          </cell>
          <cell r="Y2873">
            <v>0</v>
          </cell>
          <cell r="Z2873">
            <v>0</v>
          </cell>
        </row>
        <row r="2874">
          <cell r="C2874" t="str">
            <v>EDİRNE</v>
          </cell>
          <cell r="D2874" t="str">
            <v>UZUNKÖPRÜ</v>
          </cell>
          <cell r="H2874" t="str">
            <v>Dağıtım-OG</v>
          </cell>
          <cell r="I2874" t="str">
            <v>Uzun</v>
          </cell>
          <cell r="J2874" t="str">
            <v>Şebeke İşletmecisi</v>
          </cell>
          <cell r="K2874" t="str">
            <v>Bildirimsiz</v>
          </cell>
          <cell r="O2874">
            <v>1</v>
          </cell>
          <cell r="P2874">
            <v>0</v>
          </cell>
          <cell r="Q2874">
            <v>0</v>
          </cell>
          <cell r="R2874">
            <v>0</v>
          </cell>
          <cell r="S2874">
            <v>3</v>
          </cell>
          <cell r="T2874">
            <v>0</v>
          </cell>
          <cell r="U2874">
            <v>11.966666666558012</v>
          </cell>
          <cell r="V2874">
            <v>0</v>
          </cell>
          <cell r="W2874">
            <v>0</v>
          </cell>
          <cell r="X2874">
            <v>0</v>
          </cell>
          <cell r="Y2874">
            <v>35.899999999674037</v>
          </cell>
          <cell r="Z2874">
            <v>0</v>
          </cell>
        </row>
        <row r="2875">
          <cell r="C2875" t="str">
            <v>KIRKLARELİ</v>
          </cell>
          <cell r="D2875" t="str">
            <v>VİZE</v>
          </cell>
          <cell r="H2875" t="str">
            <v>Dağıtım-AG</v>
          </cell>
          <cell r="I2875" t="str">
            <v>Uzun</v>
          </cell>
          <cell r="J2875" t="str">
            <v>Şebeke işletmecisi</v>
          </cell>
          <cell r="K2875" t="str">
            <v>Bildirimsiz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3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35.899999999674037</v>
          </cell>
        </row>
        <row r="2876">
          <cell r="C2876" t="str">
            <v>TEKİRDAĞ</v>
          </cell>
          <cell r="D2876" t="str">
            <v>MURATLI</v>
          </cell>
          <cell r="H2876" t="str">
            <v>Dağıtım-OG</v>
          </cell>
          <cell r="I2876" t="str">
            <v>Uzun</v>
          </cell>
          <cell r="J2876" t="str">
            <v>Şebeke işletmecisi</v>
          </cell>
          <cell r="K2876" t="str">
            <v>Bildirimsiz</v>
          </cell>
          <cell r="O2876">
            <v>2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23.900000012945384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</row>
        <row r="2877">
          <cell r="C2877" t="str">
            <v>KIRKLARELİ</v>
          </cell>
          <cell r="D2877" t="str">
            <v>KIRKLARELİMERKEZ</v>
          </cell>
          <cell r="H2877" t="str">
            <v>Dağıtım-OG</v>
          </cell>
          <cell r="I2877" t="str">
            <v>Uzun</v>
          </cell>
          <cell r="J2877" t="str">
            <v>Şebeke işletmecisi</v>
          </cell>
          <cell r="K2877" t="str">
            <v>Bildirimsiz</v>
          </cell>
          <cell r="O2877">
            <v>2</v>
          </cell>
          <cell r="P2877">
            <v>3704</v>
          </cell>
          <cell r="Q2877">
            <v>0</v>
          </cell>
          <cell r="R2877">
            <v>4</v>
          </cell>
          <cell r="S2877">
            <v>0</v>
          </cell>
          <cell r="T2877">
            <v>0</v>
          </cell>
          <cell r="U2877">
            <v>23.899999991990626</v>
          </cell>
          <cell r="V2877">
            <v>44262.799985166639</v>
          </cell>
          <cell r="W2877">
            <v>0</v>
          </cell>
          <cell r="X2877">
            <v>47.799999983981252</v>
          </cell>
          <cell r="Y2877">
            <v>0</v>
          </cell>
          <cell r="Z2877">
            <v>0</v>
          </cell>
        </row>
        <row r="2878">
          <cell r="C2878" t="str">
            <v>EDİRNE</v>
          </cell>
          <cell r="D2878" t="str">
            <v>KEŞAN</v>
          </cell>
          <cell r="H2878" t="str">
            <v>Dağıtım-OG</v>
          </cell>
          <cell r="I2878" t="str">
            <v>Uzun</v>
          </cell>
          <cell r="J2878" t="str">
            <v>Şebeke İşletmecisi</v>
          </cell>
          <cell r="K2878" t="str">
            <v>Bildirimsiz</v>
          </cell>
          <cell r="O2878">
            <v>2</v>
          </cell>
          <cell r="P2878">
            <v>20</v>
          </cell>
          <cell r="Q2878">
            <v>0</v>
          </cell>
          <cell r="R2878">
            <v>0</v>
          </cell>
          <cell r="S2878">
            <v>17</v>
          </cell>
          <cell r="T2878">
            <v>16</v>
          </cell>
          <cell r="U2878">
            <v>23.833333330694586</v>
          </cell>
          <cell r="V2878">
            <v>238.33333330694586</v>
          </cell>
          <cell r="W2878">
            <v>0</v>
          </cell>
          <cell r="X2878">
            <v>0</v>
          </cell>
          <cell r="Y2878">
            <v>202.58333331090398</v>
          </cell>
          <cell r="Z2878">
            <v>190.66666664555669</v>
          </cell>
        </row>
        <row r="2879">
          <cell r="C2879" t="str">
            <v>EDİRNE</v>
          </cell>
          <cell r="D2879" t="str">
            <v>KEŞAN</v>
          </cell>
          <cell r="H2879" t="str">
            <v>Dağıtım-AG</v>
          </cell>
          <cell r="I2879" t="str">
            <v>Uzun</v>
          </cell>
          <cell r="J2879" t="str">
            <v>Şebeke işletmecisi</v>
          </cell>
          <cell r="K2879" t="str">
            <v>Bildirimsiz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31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369.41666662576608</v>
          </cell>
        </row>
        <row r="2880">
          <cell r="C2880" t="str">
            <v>TEKİRDAĞ</v>
          </cell>
          <cell r="D2880" t="str">
            <v>SÜLEYMANPAŞA</v>
          </cell>
          <cell r="H2880" t="str">
            <v>Dağıtım-AG</v>
          </cell>
          <cell r="I2880" t="str">
            <v>Uzun</v>
          </cell>
          <cell r="J2880" t="str">
            <v>Şebeke işletmecisi</v>
          </cell>
          <cell r="K2880" t="str">
            <v>Bildirimsiz</v>
          </cell>
          <cell r="O2880">
            <v>0</v>
          </cell>
          <cell r="P2880">
            <v>77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916.29999959841371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</row>
        <row r="2881">
          <cell r="C2881" t="str">
            <v>TEKİRDAĞ</v>
          </cell>
          <cell r="D2881" t="str">
            <v>SÜLEYMANPAŞA</v>
          </cell>
          <cell r="H2881" t="str">
            <v>Dağıtım-OG</v>
          </cell>
          <cell r="I2881" t="str">
            <v>Uzun</v>
          </cell>
          <cell r="J2881" t="str">
            <v>Şebeke işletmecisi</v>
          </cell>
          <cell r="K2881" t="str">
            <v>Bildirimsiz</v>
          </cell>
          <cell r="O2881">
            <v>1</v>
          </cell>
          <cell r="P2881">
            <v>4643</v>
          </cell>
          <cell r="Q2881">
            <v>0</v>
          </cell>
          <cell r="R2881">
            <v>8</v>
          </cell>
          <cell r="S2881">
            <v>0</v>
          </cell>
          <cell r="T2881">
            <v>0</v>
          </cell>
          <cell r="U2881">
            <v>11.850000004051253</v>
          </cell>
          <cell r="V2881">
            <v>55019.550018809969</v>
          </cell>
          <cell r="W2881">
            <v>0</v>
          </cell>
          <cell r="X2881">
            <v>94.800000032410026</v>
          </cell>
          <cell r="Y2881">
            <v>0</v>
          </cell>
          <cell r="Z2881">
            <v>0</v>
          </cell>
        </row>
        <row r="2882">
          <cell r="C2882" t="str">
            <v>KIRKLARELİ</v>
          </cell>
          <cell r="D2882" t="str">
            <v>KIRKLARELİMERKEZ</v>
          </cell>
          <cell r="H2882" t="str">
            <v>Dağıtım-AG</v>
          </cell>
          <cell r="I2882" t="str">
            <v>Uzun</v>
          </cell>
          <cell r="J2882" t="str">
            <v>Şebeke işletmecisi</v>
          </cell>
          <cell r="K2882" t="str">
            <v>Bildirimsiz</v>
          </cell>
          <cell r="O2882">
            <v>0</v>
          </cell>
          <cell r="P2882">
            <v>116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1372.6666666846722</v>
          </cell>
          <cell r="W2882">
            <v>0</v>
          </cell>
          <cell r="X2882">
            <v>0</v>
          </cell>
          <cell r="Y2882">
            <v>0</v>
          </cell>
          <cell r="Z2882">
            <v>0</v>
          </cell>
        </row>
        <row r="2883">
          <cell r="C2883" t="str">
            <v>EDİRNE</v>
          </cell>
          <cell r="D2883" t="str">
            <v>KEŞAN</v>
          </cell>
          <cell r="H2883" t="str">
            <v>Dağıtım-AG</v>
          </cell>
          <cell r="I2883" t="str">
            <v>Uzun</v>
          </cell>
          <cell r="J2883" t="str">
            <v>Şebeke işletmecisi</v>
          </cell>
          <cell r="K2883" t="str">
            <v>Bildirimsiz</v>
          </cell>
          <cell r="O2883">
            <v>0</v>
          </cell>
          <cell r="P2883">
            <v>161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1878.3333338331431</v>
          </cell>
          <cell r="W2883">
            <v>0</v>
          </cell>
          <cell r="X2883">
            <v>0</v>
          </cell>
          <cell r="Y2883">
            <v>0</v>
          </cell>
          <cell r="Z2883">
            <v>0</v>
          </cell>
        </row>
        <row r="2884">
          <cell r="C2884" t="str">
            <v>KIRKLARELİ</v>
          </cell>
          <cell r="D2884" t="str">
            <v>DEMİRKÖY</v>
          </cell>
          <cell r="H2884" t="str">
            <v>Dağıtım-OG</v>
          </cell>
          <cell r="I2884" t="str">
            <v>Uzun</v>
          </cell>
          <cell r="J2884" t="str">
            <v>Şebeke İşletmecisi</v>
          </cell>
          <cell r="K2884" t="str">
            <v>Bildirimsiz</v>
          </cell>
          <cell r="O2884">
            <v>0</v>
          </cell>
          <cell r="P2884">
            <v>0</v>
          </cell>
          <cell r="Q2884">
            <v>3</v>
          </cell>
          <cell r="R2884">
            <v>166</v>
          </cell>
          <cell r="S2884">
            <v>8</v>
          </cell>
          <cell r="T2884">
            <v>236</v>
          </cell>
          <cell r="U2884">
            <v>0</v>
          </cell>
          <cell r="V2884">
            <v>0</v>
          </cell>
          <cell r="W2884">
            <v>34.900000017369166</v>
          </cell>
          <cell r="X2884">
            <v>1931.1333342944272</v>
          </cell>
          <cell r="Y2884">
            <v>93.066666712984443</v>
          </cell>
          <cell r="Z2884">
            <v>2745.4666680330411</v>
          </cell>
        </row>
        <row r="2885">
          <cell r="C2885" t="str">
            <v>KIRKLARELİ</v>
          </cell>
          <cell r="D2885" t="str">
            <v>KIRKLARELİMERKEZ</v>
          </cell>
          <cell r="H2885" t="str">
            <v>Dağıtım-OG</v>
          </cell>
          <cell r="I2885" t="str">
            <v>Uzun</v>
          </cell>
          <cell r="J2885" t="str">
            <v>Şebeke İşletmecisi</v>
          </cell>
          <cell r="K2885" t="str">
            <v>Bildirimsiz</v>
          </cell>
          <cell r="O2885">
            <v>1</v>
          </cell>
          <cell r="P2885">
            <v>0</v>
          </cell>
          <cell r="Q2885">
            <v>6</v>
          </cell>
          <cell r="R2885">
            <v>166</v>
          </cell>
          <cell r="S2885">
            <v>37</v>
          </cell>
          <cell r="T2885">
            <v>1269</v>
          </cell>
          <cell r="U2885">
            <v>11.616666658082977</v>
          </cell>
          <cell r="V2885">
            <v>0</v>
          </cell>
          <cell r="W2885">
            <v>69.699999948497862</v>
          </cell>
          <cell r="X2885">
            <v>1928.3666652417742</v>
          </cell>
          <cell r="Y2885">
            <v>429.81666634907015</v>
          </cell>
          <cell r="Z2885">
            <v>14741.549989107298</v>
          </cell>
        </row>
        <row r="2886">
          <cell r="C2886" t="str">
            <v>TEKİRDAĞ</v>
          </cell>
          <cell r="D2886" t="str">
            <v>ŞARKÖY</v>
          </cell>
          <cell r="H2886" t="str">
            <v>Dağıtım-AG</v>
          </cell>
          <cell r="I2886" t="str">
            <v>Uzun</v>
          </cell>
          <cell r="J2886" t="str">
            <v>Şebeke işletmecisi</v>
          </cell>
          <cell r="K2886" t="str">
            <v>Bildirimsiz</v>
          </cell>
          <cell r="O2886">
            <v>0</v>
          </cell>
          <cell r="P2886">
            <v>0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11.599999997997656</v>
          </cell>
          <cell r="Y2886">
            <v>0</v>
          </cell>
          <cell r="Z2886">
            <v>0</v>
          </cell>
        </row>
        <row r="2887">
          <cell r="C2887" t="str">
            <v>TEKİRDAĞ</v>
          </cell>
          <cell r="D2887" t="str">
            <v>MARMARAEREĞLİSİ</v>
          </cell>
          <cell r="H2887" t="str">
            <v>Dağıtım-AG</v>
          </cell>
          <cell r="I2887" t="str">
            <v>Uzun</v>
          </cell>
          <cell r="J2887" t="str">
            <v>Şebeke işletmecisi</v>
          </cell>
          <cell r="K2887" t="str">
            <v>Bildirimsiz</v>
          </cell>
          <cell r="O2887">
            <v>0</v>
          </cell>
          <cell r="P2887">
            <v>1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11.599999997997656</v>
          </cell>
          <cell r="W2887">
            <v>0</v>
          </cell>
          <cell r="X2887">
            <v>0</v>
          </cell>
          <cell r="Y2887">
            <v>0</v>
          </cell>
          <cell r="Z2887">
            <v>0</v>
          </cell>
        </row>
        <row r="2888">
          <cell r="C2888" t="str">
            <v>EDİRNE</v>
          </cell>
          <cell r="D2888" t="str">
            <v>İPSALA</v>
          </cell>
          <cell r="H2888" t="str">
            <v>Dağıtım-AG</v>
          </cell>
          <cell r="I2888" t="str">
            <v>Uzun</v>
          </cell>
          <cell r="J2888" t="str">
            <v>Şebeke işletmecisi</v>
          </cell>
          <cell r="K2888" t="str">
            <v>Bildirimsiz</v>
          </cell>
          <cell r="O2888">
            <v>0</v>
          </cell>
          <cell r="P2888">
            <v>0</v>
          </cell>
          <cell r="Q2888">
            <v>0</v>
          </cell>
          <cell r="R2888">
            <v>23</v>
          </cell>
          <cell r="S2888">
            <v>0</v>
          </cell>
          <cell r="T2888">
            <v>1</v>
          </cell>
          <cell r="U2888">
            <v>0</v>
          </cell>
          <cell r="V2888">
            <v>0</v>
          </cell>
          <cell r="W2888">
            <v>0</v>
          </cell>
          <cell r="X2888">
            <v>266.41666677198373</v>
          </cell>
          <cell r="Y2888">
            <v>0</v>
          </cell>
          <cell r="Z2888">
            <v>11.583333337912336</v>
          </cell>
        </row>
        <row r="2889">
          <cell r="C2889" t="str">
            <v>KIRKLARELİ</v>
          </cell>
          <cell r="D2889" t="str">
            <v>VİZE</v>
          </cell>
          <cell r="H2889" t="str">
            <v>Dağıtım-AG</v>
          </cell>
          <cell r="I2889" t="str">
            <v>Uzun</v>
          </cell>
          <cell r="J2889" t="str">
            <v>Şebeke işletmecisi</v>
          </cell>
          <cell r="K2889" t="str">
            <v>Bildirimsiz</v>
          </cell>
          <cell r="O2889">
            <v>0</v>
          </cell>
          <cell r="P2889">
            <v>0</v>
          </cell>
          <cell r="Q2889">
            <v>0</v>
          </cell>
          <cell r="R2889">
            <v>5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  <cell r="X2889">
            <v>57.833333336748183</v>
          </cell>
          <cell r="Y2889">
            <v>0</v>
          </cell>
          <cell r="Z2889">
            <v>0</v>
          </cell>
        </row>
        <row r="2890">
          <cell r="C2890" t="str">
            <v>EDİRNE</v>
          </cell>
          <cell r="D2890" t="str">
            <v>KEŞAN</v>
          </cell>
          <cell r="H2890" t="str">
            <v>Dağıtım-AG</v>
          </cell>
          <cell r="I2890" t="str">
            <v>Uzun</v>
          </cell>
          <cell r="J2890" t="str">
            <v>Şebeke işletmecisi</v>
          </cell>
          <cell r="K2890" t="str">
            <v>Bildirimsiz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5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57.749999983934686</v>
          </cell>
        </row>
        <row r="2891">
          <cell r="C2891" t="str">
            <v>TEKİRDAĞ</v>
          </cell>
          <cell r="D2891" t="str">
            <v>MARMARAEREĞLİSİ</v>
          </cell>
          <cell r="H2891" t="str">
            <v>Dağıtım-AG</v>
          </cell>
          <cell r="I2891" t="str">
            <v>Uzun</v>
          </cell>
          <cell r="J2891" t="str">
            <v>Şebeke işletmecisi</v>
          </cell>
          <cell r="K2891" t="str">
            <v>Bildirimsiz</v>
          </cell>
          <cell r="O2891">
            <v>0</v>
          </cell>
          <cell r="P2891">
            <v>48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  <cell r="U2891">
            <v>0</v>
          </cell>
          <cell r="V2891">
            <v>553.6000001616776</v>
          </cell>
          <cell r="W2891">
            <v>0</v>
          </cell>
          <cell r="X2891">
            <v>0</v>
          </cell>
          <cell r="Y2891">
            <v>0</v>
          </cell>
          <cell r="Z2891">
            <v>0</v>
          </cell>
        </row>
        <row r="2892">
          <cell r="C2892" t="str">
            <v>KIRKLARELİ</v>
          </cell>
          <cell r="D2892" t="str">
            <v>LÜLEBURGAZ</v>
          </cell>
          <cell r="H2892" t="str">
            <v>Dağıtım-OG</v>
          </cell>
          <cell r="I2892" t="str">
            <v>Uzun</v>
          </cell>
          <cell r="J2892" t="str">
            <v>Şebeke işletmecisi</v>
          </cell>
          <cell r="K2892" t="str">
            <v>Bildirimsiz</v>
          </cell>
          <cell r="O2892">
            <v>8</v>
          </cell>
          <cell r="P2892">
            <v>125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>
            <v>92.133333329111338</v>
          </cell>
          <cell r="V2892">
            <v>1439.5833332673647</v>
          </cell>
          <cell r="W2892">
            <v>0</v>
          </cell>
          <cell r="X2892">
            <v>0</v>
          </cell>
          <cell r="Y2892">
            <v>0</v>
          </cell>
          <cell r="Z2892">
            <v>0</v>
          </cell>
        </row>
        <row r="2893">
          <cell r="C2893" t="str">
            <v>KIRKLARELİ</v>
          </cell>
          <cell r="D2893" t="str">
            <v>BABAESKİ</v>
          </cell>
          <cell r="H2893" t="str">
            <v>Dağıtım-OG</v>
          </cell>
          <cell r="I2893" t="str">
            <v>Uzun</v>
          </cell>
          <cell r="J2893" t="str">
            <v>Şebeke işletmecisi</v>
          </cell>
          <cell r="K2893" t="str">
            <v>Bildirimsiz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5</v>
          </cell>
          <cell r="T2893">
            <v>201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57.250000024214387</v>
          </cell>
          <cell r="Z2893">
            <v>2301.4500009734184</v>
          </cell>
        </row>
        <row r="2894">
          <cell r="C2894" t="str">
            <v>TEKİRDAĞ</v>
          </cell>
          <cell r="D2894" t="str">
            <v>MARMARAEREĞLİSİ</v>
          </cell>
          <cell r="H2894" t="str">
            <v>Dağıtım-AG</v>
          </cell>
          <cell r="I2894" t="str">
            <v>Uzun</v>
          </cell>
          <cell r="J2894" t="str">
            <v>Şebeke işletmecisi</v>
          </cell>
          <cell r="K2894" t="str">
            <v>Bildirimsiz</v>
          </cell>
          <cell r="O2894">
            <v>0</v>
          </cell>
          <cell r="P2894">
            <v>0</v>
          </cell>
          <cell r="Q2894">
            <v>0</v>
          </cell>
          <cell r="R2894">
            <v>18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206.09999989857897</v>
          </cell>
          <cell r="Y2894">
            <v>0</v>
          </cell>
          <cell r="Z2894">
            <v>0</v>
          </cell>
        </row>
        <row r="2895">
          <cell r="C2895" t="str">
            <v>TEKİRDAĞ</v>
          </cell>
          <cell r="D2895" t="str">
            <v>ÇORLU</v>
          </cell>
          <cell r="H2895" t="str">
            <v>Dağıtım-OG</v>
          </cell>
          <cell r="I2895" t="str">
            <v>Uzun</v>
          </cell>
          <cell r="J2895" t="str">
            <v>Şebeke İşletmecisi</v>
          </cell>
          <cell r="K2895" t="str">
            <v>Bildirimsiz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2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  <cell r="X2895">
            <v>0</v>
          </cell>
          <cell r="Y2895">
            <v>22.800000007264316</v>
          </cell>
          <cell r="Z2895">
            <v>0</v>
          </cell>
        </row>
        <row r="2896">
          <cell r="C2896" t="str">
            <v>EDİRNE</v>
          </cell>
          <cell r="D2896" t="str">
            <v>KEŞAN</v>
          </cell>
          <cell r="H2896" t="str">
            <v>Dağıtım-AG</v>
          </cell>
          <cell r="I2896" t="str">
            <v>Uzun</v>
          </cell>
          <cell r="J2896" t="str">
            <v>Şebeke işletmecisi</v>
          </cell>
          <cell r="K2896" t="str">
            <v>Bildirimsiz</v>
          </cell>
          <cell r="O2896">
            <v>0</v>
          </cell>
          <cell r="P2896">
            <v>242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2758.8000008789822</v>
          </cell>
          <cell r="W2896">
            <v>0</v>
          </cell>
          <cell r="X2896">
            <v>0</v>
          </cell>
          <cell r="Y2896">
            <v>0</v>
          </cell>
          <cell r="Z2896">
            <v>0</v>
          </cell>
        </row>
        <row r="2897">
          <cell r="C2897" t="str">
            <v>TEKİRDAĞ</v>
          </cell>
          <cell r="D2897" t="str">
            <v>KAPAKLI</v>
          </cell>
          <cell r="H2897" t="str">
            <v>Dağıtım-AG</v>
          </cell>
          <cell r="I2897" t="str">
            <v>Uzun</v>
          </cell>
          <cell r="J2897" t="str">
            <v>Şebeke işletmecisi</v>
          </cell>
          <cell r="K2897" t="str">
            <v>Bildirimsiz</v>
          </cell>
          <cell r="O2897">
            <v>0</v>
          </cell>
          <cell r="P2897">
            <v>4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45.466666691936553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</row>
        <row r="2898">
          <cell r="C2898" t="str">
            <v>TEKİRDAĞ</v>
          </cell>
          <cell r="D2898" t="str">
            <v>MARMARAEREĞLİSİ</v>
          </cell>
          <cell r="H2898" t="str">
            <v>Dağıtım-AG</v>
          </cell>
          <cell r="I2898" t="str">
            <v>Uzun</v>
          </cell>
          <cell r="J2898" t="str">
            <v>Şebeke işletmecisi</v>
          </cell>
          <cell r="K2898" t="str">
            <v>Bildirimsiz</v>
          </cell>
          <cell r="O2898">
            <v>0</v>
          </cell>
          <cell r="P2898">
            <v>9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101.85000004596077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</row>
        <row r="2899">
          <cell r="C2899" t="str">
            <v>KIRKLARELİ</v>
          </cell>
          <cell r="D2899" t="str">
            <v>LÜLEBURGAZ</v>
          </cell>
          <cell r="H2899" t="str">
            <v>Dağıtım-AG</v>
          </cell>
          <cell r="I2899" t="str">
            <v>Uzun</v>
          </cell>
          <cell r="J2899" t="str">
            <v>Şebeke işletmecisi</v>
          </cell>
          <cell r="K2899" t="str">
            <v>Bildirimsiz</v>
          </cell>
          <cell r="O2899">
            <v>0</v>
          </cell>
          <cell r="P2899">
            <v>0</v>
          </cell>
          <cell r="Q2899">
            <v>0</v>
          </cell>
          <cell r="R2899">
            <v>52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586.73333319369704</v>
          </cell>
          <cell r="Y2899">
            <v>0</v>
          </cell>
          <cell r="Z2899">
            <v>0</v>
          </cell>
        </row>
        <row r="2900">
          <cell r="C2900" t="str">
            <v>KIRKLARELİ</v>
          </cell>
          <cell r="D2900" t="str">
            <v>KIRKLARELİMERKEZ</v>
          </cell>
          <cell r="H2900" t="str">
            <v>Dağıtım-OG</v>
          </cell>
          <cell r="I2900" t="str">
            <v>Uzun</v>
          </cell>
          <cell r="J2900" t="str">
            <v>Şebeke İşletmecisi</v>
          </cell>
          <cell r="K2900" t="str">
            <v>Bildirimsiz</v>
          </cell>
          <cell r="O2900">
            <v>0</v>
          </cell>
          <cell r="P2900">
            <v>3</v>
          </cell>
          <cell r="Q2900">
            <v>0</v>
          </cell>
          <cell r="R2900">
            <v>0</v>
          </cell>
          <cell r="S2900">
            <v>8</v>
          </cell>
          <cell r="T2900">
            <v>1244</v>
          </cell>
          <cell r="U2900">
            <v>0</v>
          </cell>
          <cell r="V2900">
            <v>33.799999980255961</v>
          </cell>
          <cell r="W2900">
            <v>0</v>
          </cell>
          <cell r="X2900">
            <v>0</v>
          </cell>
          <cell r="Y2900">
            <v>90.133333280682564</v>
          </cell>
          <cell r="Z2900">
            <v>14015.733325146139</v>
          </cell>
        </row>
        <row r="2901">
          <cell r="C2901" t="str">
            <v>TEKİRDAĞ</v>
          </cell>
          <cell r="D2901" t="str">
            <v>ŞARKÖY</v>
          </cell>
          <cell r="H2901" t="str">
            <v>Dağıtım-AG</v>
          </cell>
          <cell r="I2901" t="str">
            <v>Uzun</v>
          </cell>
          <cell r="J2901" t="str">
            <v>Şebeke işletmecisi</v>
          </cell>
          <cell r="K2901" t="str">
            <v>Bildirimsiz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29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325.76666685752571</v>
          </cell>
        </row>
        <row r="2902">
          <cell r="C2902" t="str">
            <v>EDİRNE</v>
          </cell>
          <cell r="D2902" t="str">
            <v>EDİRNEMERKEZ</v>
          </cell>
          <cell r="H2902" t="str">
            <v>Dağıtım-AG</v>
          </cell>
          <cell r="I2902" t="str">
            <v>Uzun</v>
          </cell>
          <cell r="J2902" t="str">
            <v>Şebeke işletmecisi</v>
          </cell>
          <cell r="K2902" t="str">
            <v>Bildirimsiz</v>
          </cell>
          <cell r="O2902">
            <v>0</v>
          </cell>
          <cell r="P2902">
            <v>34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381.36666675796732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</row>
        <row r="2903">
          <cell r="C2903" t="str">
            <v>TEKİRDAĞ</v>
          </cell>
          <cell r="D2903" t="str">
            <v>SÜLEYMANPAŞA</v>
          </cell>
          <cell r="H2903" t="str">
            <v>Dağıtım-AG</v>
          </cell>
          <cell r="I2903" t="str">
            <v>Uzun</v>
          </cell>
          <cell r="J2903" t="str">
            <v>Şebeke işletmecisi</v>
          </cell>
          <cell r="K2903" t="str">
            <v>Bildirimsiz</v>
          </cell>
          <cell r="O2903">
            <v>0</v>
          </cell>
          <cell r="P2903">
            <v>7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78.166666676988825</v>
          </cell>
          <cell r="W2903">
            <v>0</v>
          </cell>
          <cell r="X2903">
            <v>0</v>
          </cell>
          <cell r="Y2903">
            <v>0</v>
          </cell>
          <cell r="Z2903">
            <v>0</v>
          </cell>
        </row>
        <row r="2904">
          <cell r="C2904" t="str">
            <v>TEKİRDAĞ</v>
          </cell>
          <cell r="D2904" t="str">
            <v>SARAY</v>
          </cell>
          <cell r="H2904" t="str">
            <v>Dağıtım-OG</v>
          </cell>
          <cell r="I2904" t="str">
            <v>Uzun</v>
          </cell>
          <cell r="J2904" t="str">
            <v>Dışsal</v>
          </cell>
          <cell r="K2904" t="str">
            <v>Bildirimsiz</v>
          </cell>
          <cell r="O2904">
            <v>0</v>
          </cell>
          <cell r="P2904">
            <v>0</v>
          </cell>
          <cell r="Q2904">
            <v>0</v>
          </cell>
          <cell r="R2904">
            <v>410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4571.4999990072101</v>
          </cell>
          <cell r="Y2904">
            <v>0</v>
          </cell>
          <cell r="Z2904">
            <v>0</v>
          </cell>
        </row>
        <row r="2905">
          <cell r="C2905" t="str">
            <v>EDİRNE</v>
          </cell>
          <cell r="D2905" t="str">
            <v>KEŞAN</v>
          </cell>
          <cell r="H2905" t="str">
            <v>Dağıtım-AG</v>
          </cell>
          <cell r="I2905" t="str">
            <v>Uzun</v>
          </cell>
          <cell r="J2905" t="str">
            <v>Şebeke işletmecisi</v>
          </cell>
          <cell r="K2905" t="str">
            <v>Bildirimsiz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25</v>
          </cell>
          <cell r="U2905">
            <v>0</v>
          </cell>
          <cell r="V2905">
            <v>0</v>
          </cell>
          <cell r="W2905">
            <v>0</v>
          </cell>
          <cell r="X2905">
            <v>0</v>
          </cell>
          <cell r="Y2905">
            <v>0</v>
          </cell>
          <cell r="Z2905">
            <v>278.74999993946403</v>
          </cell>
        </row>
        <row r="2906">
          <cell r="C2906" t="str">
            <v>TEKİRDAĞ</v>
          </cell>
          <cell r="D2906" t="str">
            <v>ŞARKÖY</v>
          </cell>
          <cell r="H2906" t="str">
            <v>Dağıtım-AG</v>
          </cell>
          <cell r="I2906" t="str">
            <v>Uzun</v>
          </cell>
          <cell r="J2906" t="str">
            <v>Şebeke işletmecisi</v>
          </cell>
          <cell r="K2906" t="str">
            <v>Bildirimsiz</v>
          </cell>
          <cell r="O2906">
            <v>0</v>
          </cell>
          <cell r="P2906">
            <v>0</v>
          </cell>
          <cell r="Q2906">
            <v>0</v>
          </cell>
          <cell r="R2906">
            <v>207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2304.6000008611009</v>
          </cell>
          <cell r="Y2906">
            <v>0</v>
          </cell>
          <cell r="Z2906">
            <v>0</v>
          </cell>
        </row>
        <row r="2907">
          <cell r="C2907" t="str">
            <v>KIRKLARELİ</v>
          </cell>
          <cell r="D2907" t="str">
            <v>DEMİRKÖY</v>
          </cell>
          <cell r="H2907" t="str">
            <v>Dağıtım-OG</v>
          </cell>
          <cell r="I2907" t="str">
            <v>Uzun</v>
          </cell>
          <cell r="J2907" t="str">
            <v>Şebeke İşletmecisi</v>
          </cell>
          <cell r="K2907" t="str">
            <v>Bildirimsiz</v>
          </cell>
          <cell r="O2907">
            <v>0</v>
          </cell>
          <cell r="P2907">
            <v>0</v>
          </cell>
          <cell r="Q2907">
            <v>3</v>
          </cell>
          <cell r="R2907">
            <v>2</v>
          </cell>
          <cell r="S2907">
            <v>7</v>
          </cell>
          <cell r="T2907">
            <v>109</v>
          </cell>
          <cell r="U2907">
            <v>0</v>
          </cell>
          <cell r="V2907">
            <v>0</v>
          </cell>
          <cell r="W2907">
            <v>33.250000008847564</v>
          </cell>
          <cell r="X2907">
            <v>22.166666672565043</v>
          </cell>
          <cell r="Y2907">
            <v>77.58333335397765</v>
          </cell>
          <cell r="Z2907">
            <v>1208.0833336547948</v>
          </cell>
        </row>
        <row r="2908">
          <cell r="C2908" t="str">
            <v>TEKİRDAĞ</v>
          </cell>
          <cell r="D2908" t="str">
            <v>SÜLEYMANPAŞA</v>
          </cell>
          <cell r="H2908" t="str">
            <v>Dağıtım-AG</v>
          </cell>
          <cell r="I2908" t="str">
            <v>Uzun</v>
          </cell>
          <cell r="J2908" t="str">
            <v>Şebeke işletmecisi</v>
          </cell>
          <cell r="K2908" t="str">
            <v>Bildirimsiz</v>
          </cell>
          <cell r="O2908">
            <v>0</v>
          </cell>
          <cell r="P2908">
            <v>15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166.24999988707714</v>
          </cell>
          <cell r="W2908">
            <v>0</v>
          </cell>
          <cell r="X2908">
            <v>0</v>
          </cell>
          <cell r="Y2908">
            <v>0</v>
          </cell>
          <cell r="Z2908">
            <v>0</v>
          </cell>
        </row>
        <row r="2909">
          <cell r="C2909" t="str">
            <v>KIRKLARELİ</v>
          </cell>
          <cell r="D2909" t="str">
            <v>KIRKLARELİMERKEZ</v>
          </cell>
          <cell r="H2909" t="str">
            <v>Dağıtım-AG</v>
          </cell>
          <cell r="I2909" t="str">
            <v>Uzun</v>
          </cell>
          <cell r="J2909" t="str">
            <v>Şebeke işletmecisi</v>
          </cell>
          <cell r="K2909" t="str">
            <v>Bildirimsiz</v>
          </cell>
          <cell r="O2909">
            <v>0</v>
          </cell>
          <cell r="P2909">
            <v>215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2379.3333331297617</v>
          </cell>
          <cell r="W2909">
            <v>0</v>
          </cell>
          <cell r="X2909">
            <v>0</v>
          </cell>
          <cell r="Y2909">
            <v>0</v>
          </cell>
          <cell r="Z2909">
            <v>0</v>
          </cell>
        </row>
        <row r="2910">
          <cell r="C2910" t="str">
            <v>EDİRNE</v>
          </cell>
          <cell r="D2910" t="str">
            <v>HAVSA</v>
          </cell>
          <cell r="H2910" t="str">
            <v>Dağıtım-OG</v>
          </cell>
          <cell r="I2910" t="str">
            <v>Uzun</v>
          </cell>
          <cell r="J2910" t="str">
            <v>Şebeke işletmecisi</v>
          </cell>
          <cell r="K2910" t="str">
            <v>Bildirimsiz</v>
          </cell>
          <cell r="O2910">
            <v>5</v>
          </cell>
          <cell r="P2910">
            <v>25</v>
          </cell>
          <cell r="Q2910">
            <v>15</v>
          </cell>
          <cell r="R2910">
            <v>7</v>
          </cell>
          <cell r="S2910">
            <v>53</v>
          </cell>
          <cell r="T2910">
            <v>4053</v>
          </cell>
          <cell r="U2910">
            <v>55.166666622972116</v>
          </cell>
          <cell r="V2910">
            <v>275.83333311486058</v>
          </cell>
          <cell r="W2910">
            <v>165.49999986891635</v>
          </cell>
          <cell r="X2910">
            <v>77.233333272160962</v>
          </cell>
          <cell r="Y2910">
            <v>584.76666620350443</v>
          </cell>
          <cell r="Z2910">
            <v>44718.099964581197</v>
          </cell>
        </row>
        <row r="2911">
          <cell r="C2911" t="str">
            <v>EDİRNE</v>
          </cell>
          <cell r="D2911" t="str">
            <v>KEŞAN</v>
          </cell>
          <cell r="H2911" t="str">
            <v>Dağıtım-OG</v>
          </cell>
          <cell r="I2911" t="str">
            <v>Uzun</v>
          </cell>
          <cell r="J2911" t="str">
            <v>Şebeke işletmecisi</v>
          </cell>
          <cell r="K2911" t="str">
            <v>Bildirimsiz</v>
          </cell>
          <cell r="O2911">
            <v>0</v>
          </cell>
          <cell r="P2911">
            <v>7</v>
          </cell>
          <cell r="Q2911">
            <v>0</v>
          </cell>
          <cell r="R2911">
            <v>0</v>
          </cell>
          <cell r="S2911">
            <v>1</v>
          </cell>
          <cell r="T2911">
            <v>0</v>
          </cell>
          <cell r="U2911">
            <v>0</v>
          </cell>
          <cell r="V2911">
            <v>77.000000030966476</v>
          </cell>
          <cell r="W2911">
            <v>0</v>
          </cell>
          <cell r="X2911">
            <v>0</v>
          </cell>
          <cell r="Y2911">
            <v>11.000000004423782</v>
          </cell>
          <cell r="Z2911">
            <v>0</v>
          </cell>
        </row>
        <row r="2912">
          <cell r="C2912" t="str">
            <v>EDİRNE</v>
          </cell>
          <cell r="D2912" t="str">
            <v>UZUNKÖPRÜ</v>
          </cell>
          <cell r="H2912" t="str">
            <v>Dağıtım-AG</v>
          </cell>
          <cell r="I2912" t="str">
            <v>Uzun</v>
          </cell>
          <cell r="J2912" t="str">
            <v>Şebeke işletmecisi</v>
          </cell>
          <cell r="K2912" t="str">
            <v>Bildirimsiz</v>
          </cell>
          <cell r="O2912">
            <v>0</v>
          </cell>
          <cell r="P2912">
            <v>197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2166.9999988074414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</row>
        <row r="2913">
          <cell r="C2913" t="str">
            <v>TEKİRDAĞ</v>
          </cell>
          <cell r="D2913" t="str">
            <v>SÜLEYMANPAŞA</v>
          </cell>
          <cell r="H2913" t="str">
            <v>Dağıtım-OG</v>
          </cell>
          <cell r="I2913" t="str">
            <v>Uzun</v>
          </cell>
          <cell r="J2913" t="str">
            <v>Şebeke işletmecisi</v>
          </cell>
          <cell r="K2913" t="str">
            <v>Bildirimsiz</v>
          </cell>
          <cell r="O2913">
            <v>0</v>
          </cell>
          <cell r="P2913">
            <v>64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  <cell r="U2913">
            <v>0</v>
          </cell>
          <cell r="V2913">
            <v>701.86666645109653</v>
          </cell>
          <cell r="W2913">
            <v>0</v>
          </cell>
          <cell r="X2913">
            <v>0</v>
          </cell>
          <cell r="Y2913">
            <v>0</v>
          </cell>
          <cell r="Z2913">
            <v>0</v>
          </cell>
        </row>
        <row r="2914">
          <cell r="C2914" t="str">
            <v>EDİRNE</v>
          </cell>
          <cell r="D2914" t="str">
            <v>MERİÇ</v>
          </cell>
          <cell r="H2914" t="str">
            <v>Dağıtım-OG</v>
          </cell>
          <cell r="I2914" t="str">
            <v>Uzun</v>
          </cell>
          <cell r="J2914" t="str">
            <v>Şebeke İşletmecisi</v>
          </cell>
          <cell r="K2914" t="str">
            <v>Bildirimsiz</v>
          </cell>
          <cell r="O2914">
            <v>5</v>
          </cell>
          <cell r="P2914">
            <v>1</v>
          </cell>
          <cell r="Q2914">
            <v>1</v>
          </cell>
          <cell r="R2914">
            <v>0</v>
          </cell>
          <cell r="S2914">
            <v>16</v>
          </cell>
          <cell r="T2914">
            <v>950</v>
          </cell>
          <cell r="U2914">
            <v>54.750000016065314</v>
          </cell>
          <cell r="V2914">
            <v>10.950000003213063</v>
          </cell>
          <cell r="W2914">
            <v>10.950000003213063</v>
          </cell>
          <cell r="X2914">
            <v>0</v>
          </cell>
          <cell r="Y2914">
            <v>175.20000005140901</v>
          </cell>
          <cell r="Z2914">
            <v>10402.50000305241</v>
          </cell>
        </row>
        <row r="2915">
          <cell r="C2915" t="str">
            <v>EDİRNE</v>
          </cell>
          <cell r="D2915" t="str">
            <v>İPSALA</v>
          </cell>
          <cell r="H2915" t="str">
            <v>Dağıtım-AG</v>
          </cell>
          <cell r="I2915" t="str">
            <v>Uzun</v>
          </cell>
          <cell r="J2915" t="str">
            <v>Şebeke işletmecisi</v>
          </cell>
          <cell r="K2915" t="str">
            <v>Bildirimsiz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6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65.599999995902181</v>
          </cell>
        </row>
        <row r="2916">
          <cell r="C2916" t="str">
            <v>TEKİRDAĞ</v>
          </cell>
          <cell r="D2916" t="str">
            <v>SÜLEYMANPAŞA</v>
          </cell>
          <cell r="H2916" t="str">
            <v>Dağıtım-AG</v>
          </cell>
          <cell r="I2916" t="str">
            <v>Uzun</v>
          </cell>
          <cell r="J2916" t="str">
            <v>Şebeke işletmecisi</v>
          </cell>
          <cell r="K2916" t="str">
            <v>Bildirimsiz</v>
          </cell>
          <cell r="O2916">
            <v>0</v>
          </cell>
          <cell r="P2916">
            <v>326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3564.2666664440185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</row>
        <row r="2917">
          <cell r="C2917" t="str">
            <v>TEKİRDAĞ</v>
          </cell>
          <cell r="D2917" t="str">
            <v>MARMARAEREĞLİSİ</v>
          </cell>
          <cell r="H2917" t="str">
            <v>Dağıtım-AG</v>
          </cell>
          <cell r="I2917" t="str">
            <v>Uzun</v>
          </cell>
          <cell r="J2917" t="str">
            <v>Şebeke işletmecisi</v>
          </cell>
          <cell r="K2917" t="str">
            <v>Bildirimsiz</v>
          </cell>
          <cell r="O2917">
            <v>0</v>
          </cell>
          <cell r="P2917">
            <v>14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152.8333334159106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</row>
        <row r="2918">
          <cell r="C2918" t="str">
            <v>KIRKLARELİ</v>
          </cell>
          <cell r="D2918" t="str">
            <v>BABAESKİ</v>
          </cell>
          <cell r="H2918" t="str">
            <v>Dağıtım-AG</v>
          </cell>
          <cell r="I2918" t="str">
            <v>Uzun</v>
          </cell>
          <cell r="J2918" t="str">
            <v>Şebeke işletmecisi</v>
          </cell>
          <cell r="K2918" t="str">
            <v>Bildirimsiz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7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76.066666699480265</v>
          </cell>
        </row>
        <row r="2919">
          <cell r="C2919" t="str">
            <v>TEKİRDAĞ</v>
          </cell>
          <cell r="D2919" t="str">
            <v>HAYRABOLU</v>
          </cell>
          <cell r="H2919" t="str">
            <v>Dağıtım-AG</v>
          </cell>
          <cell r="I2919" t="str">
            <v>Uzun</v>
          </cell>
          <cell r="J2919" t="str">
            <v>Şebeke işletmecisi</v>
          </cell>
          <cell r="K2919" t="str">
            <v>Bildirimsiz</v>
          </cell>
          <cell r="O2919">
            <v>0</v>
          </cell>
          <cell r="P2919">
            <v>0</v>
          </cell>
          <cell r="Q2919">
            <v>0</v>
          </cell>
          <cell r="R2919">
            <v>76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825.8666670229286</v>
          </cell>
          <cell r="Y2919">
            <v>0</v>
          </cell>
          <cell r="Z2919">
            <v>0</v>
          </cell>
        </row>
        <row r="2920">
          <cell r="C2920" t="str">
            <v>TEKİRDAĞ</v>
          </cell>
          <cell r="D2920" t="str">
            <v>SÜLEYMANPAŞA</v>
          </cell>
          <cell r="H2920" t="str">
            <v>Dağıtım-OG</v>
          </cell>
          <cell r="I2920" t="str">
            <v>Uzun</v>
          </cell>
          <cell r="J2920" t="str">
            <v>Şebeke işletmecisi</v>
          </cell>
          <cell r="K2920" t="str">
            <v>Bildirimsiz</v>
          </cell>
          <cell r="O2920">
            <v>1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10.866666671354324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0</v>
          </cell>
        </row>
        <row r="2921">
          <cell r="C2921" t="str">
            <v>EDİRNE</v>
          </cell>
          <cell r="D2921" t="str">
            <v>UZUNKÖPRÜ</v>
          </cell>
          <cell r="H2921" t="str">
            <v>Dağıtım-OG</v>
          </cell>
          <cell r="I2921" t="str">
            <v>Uzun</v>
          </cell>
          <cell r="J2921" t="str">
            <v>Şebeke İşletmecisi</v>
          </cell>
          <cell r="K2921" t="str">
            <v>Bildirimsiz</v>
          </cell>
          <cell r="O2921">
            <v>4</v>
          </cell>
          <cell r="P2921">
            <v>0</v>
          </cell>
          <cell r="Q2921">
            <v>0</v>
          </cell>
          <cell r="R2921">
            <v>0</v>
          </cell>
          <cell r="S2921">
            <v>3</v>
          </cell>
          <cell r="T2921">
            <v>0</v>
          </cell>
          <cell r="U2921">
            <v>43.400000003166497</v>
          </cell>
          <cell r="V2921">
            <v>0</v>
          </cell>
          <cell r="W2921">
            <v>0</v>
          </cell>
          <cell r="X2921">
            <v>0</v>
          </cell>
          <cell r="Y2921">
            <v>32.550000002374873</v>
          </cell>
          <cell r="Z2921">
            <v>0</v>
          </cell>
        </row>
        <row r="2922">
          <cell r="C2922" t="str">
            <v>EDİRNE</v>
          </cell>
          <cell r="D2922" t="str">
            <v>EDİRNEMERKEZ</v>
          </cell>
          <cell r="H2922" t="str">
            <v>Dağıtım-OG</v>
          </cell>
          <cell r="I2922" t="str">
            <v>Uzun</v>
          </cell>
          <cell r="J2922" t="str">
            <v>Şebeke İşletmecisi</v>
          </cell>
          <cell r="K2922" t="str">
            <v>Bildirimsiz</v>
          </cell>
          <cell r="O2922">
            <v>2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21.633333340287209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0</v>
          </cell>
        </row>
        <row r="2923">
          <cell r="C2923" t="str">
            <v>TEKİRDAĞ</v>
          </cell>
          <cell r="D2923" t="str">
            <v>MARMARAEREĞLİSİ</v>
          </cell>
          <cell r="H2923" t="str">
            <v>Dağıtım-AG</v>
          </cell>
          <cell r="I2923" t="str">
            <v>Uzun</v>
          </cell>
          <cell r="J2923" t="str">
            <v>Şebeke işletmecisi</v>
          </cell>
          <cell r="K2923" t="str">
            <v>Bildirimsiz</v>
          </cell>
          <cell r="O2923">
            <v>0</v>
          </cell>
          <cell r="P2923">
            <v>27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292.05000009387732</v>
          </cell>
          <cell r="W2923">
            <v>0</v>
          </cell>
          <cell r="X2923">
            <v>0</v>
          </cell>
          <cell r="Y2923">
            <v>0</v>
          </cell>
          <cell r="Z2923">
            <v>0</v>
          </cell>
        </row>
        <row r="2924">
          <cell r="C2924" t="str">
            <v>TEKİRDAĞ</v>
          </cell>
          <cell r="D2924" t="str">
            <v>MARMARAEREĞLİSİ</v>
          </cell>
          <cell r="H2924" t="str">
            <v>Dağıtım-AG</v>
          </cell>
          <cell r="I2924" t="str">
            <v>Uzun</v>
          </cell>
          <cell r="J2924" t="str">
            <v>Şebeke işletmecisi</v>
          </cell>
          <cell r="K2924" t="str">
            <v>Bildirimsiz</v>
          </cell>
          <cell r="O2924">
            <v>0</v>
          </cell>
          <cell r="P2924">
            <v>0</v>
          </cell>
          <cell r="Q2924">
            <v>0</v>
          </cell>
          <cell r="R2924">
            <v>49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528.38333312189206</v>
          </cell>
          <cell r="Y2924">
            <v>0</v>
          </cell>
          <cell r="Z2924">
            <v>0</v>
          </cell>
        </row>
        <row r="2925">
          <cell r="C2925" t="str">
            <v>KIRKLARELİ</v>
          </cell>
          <cell r="D2925" t="str">
            <v>KIRKLARELİMERKEZ</v>
          </cell>
          <cell r="H2925" t="str">
            <v>Dağıtım-AG</v>
          </cell>
          <cell r="I2925" t="str">
            <v>Uzun</v>
          </cell>
          <cell r="J2925" t="str">
            <v>Şebeke işletmecisi</v>
          </cell>
          <cell r="K2925" t="str">
            <v>Bildirimsiz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41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>
            <v>0</v>
          </cell>
          <cell r="Z2925">
            <v>441.43333299667574</v>
          </cell>
        </row>
        <row r="2926">
          <cell r="C2926" t="str">
            <v>TEKİRDAĞ</v>
          </cell>
          <cell r="D2926" t="str">
            <v>MALKARA</v>
          </cell>
          <cell r="H2926" t="str">
            <v>Dağıtım-OG</v>
          </cell>
          <cell r="I2926" t="str">
            <v>Uzun</v>
          </cell>
          <cell r="J2926" t="str">
            <v>Şebeke işletmecisi</v>
          </cell>
          <cell r="K2926" t="str">
            <v>Bildirimsiz</v>
          </cell>
          <cell r="O2926">
            <v>2</v>
          </cell>
          <cell r="P2926">
            <v>0</v>
          </cell>
          <cell r="Q2926">
            <v>1</v>
          </cell>
          <cell r="R2926">
            <v>1</v>
          </cell>
          <cell r="S2926">
            <v>0</v>
          </cell>
          <cell r="T2926">
            <v>0</v>
          </cell>
          <cell r="U2926">
            <v>21.46666667656973</v>
          </cell>
          <cell r="V2926">
            <v>0</v>
          </cell>
          <cell r="W2926">
            <v>10.733333338284865</v>
          </cell>
          <cell r="X2926">
            <v>10.733333338284865</v>
          </cell>
          <cell r="Y2926">
            <v>0</v>
          </cell>
          <cell r="Z2926">
            <v>0</v>
          </cell>
        </row>
        <row r="2927">
          <cell r="C2927" t="str">
            <v>KIRKLARELİ</v>
          </cell>
          <cell r="D2927" t="str">
            <v>KIRKLARELİMERKEZ</v>
          </cell>
          <cell r="H2927" t="str">
            <v>Dağıtım-OG</v>
          </cell>
          <cell r="I2927" t="str">
            <v>Uzun</v>
          </cell>
          <cell r="J2927" t="str">
            <v>Şebeke işletmecisi</v>
          </cell>
          <cell r="K2927" t="str">
            <v>Bildirimsiz</v>
          </cell>
          <cell r="O2927">
            <v>1</v>
          </cell>
          <cell r="P2927">
            <v>1781</v>
          </cell>
          <cell r="Q2927">
            <v>0</v>
          </cell>
          <cell r="R2927">
            <v>4</v>
          </cell>
          <cell r="S2927">
            <v>0</v>
          </cell>
          <cell r="T2927">
            <v>10</v>
          </cell>
          <cell r="U2927">
            <v>10.733333338284865</v>
          </cell>
          <cell r="V2927">
            <v>19116.066675485345</v>
          </cell>
          <cell r="W2927">
            <v>0</v>
          </cell>
          <cell r="X2927">
            <v>42.93333335313946</v>
          </cell>
          <cell r="Y2927">
            <v>0</v>
          </cell>
          <cell r="Z2927">
            <v>107.33333338284865</v>
          </cell>
        </row>
        <row r="2928">
          <cell r="C2928" t="str">
            <v>TEKİRDAĞ</v>
          </cell>
          <cell r="D2928" t="str">
            <v>ÇORLU</v>
          </cell>
          <cell r="H2928" t="str">
            <v>Dağıtım-AG</v>
          </cell>
          <cell r="I2928" t="str">
            <v>Uzun</v>
          </cell>
          <cell r="J2928" t="str">
            <v>Şebeke işletmecisi</v>
          </cell>
          <cell r="K2928" t="str">
            <v>Bildirimsiz</v>
          </cell>
          <cell r="O2928">
            <v>0</v>
          </cell>
          <cell r="P2928">
            <v>40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429.33333311229944</v>
          </cell>
          <cell r="W2928">
            <v>0</v>
          </cell>
          <cell r="X2928">
            <v>0</v>
          </cell>
          <cell r="Y2928">
            <v>0</v>
          </cell>
          <cell r="Z2928">
            <v>0</v>
          </cell>
        </row>
        <row r="2929">
          <cell r="C2929" t="str">
            <v>KIRKLARELİ</v>
          </cell>
          <cell r="D2929" t="str">
            <v>VİZE</v>
          </cell>
          <cell r="H2929" t="str">
            <v>Dağıtım-OG</v>
          </cell>
          <cell r="I2929" t="str">
            <v>Uzun</v>
          </cell>
          <cell r="J2929" t="str">
            <v>Şebeke işletmecisi</v>
          </cell>
          <cell r="K2929" t="str">
            <v>Bildirimsiz</v>
          </cell>
          <cell r="O2929">
            <v>0</v>
          </cell>
          <cell r="P2929">
            <v>40</v>
          </cell>
          <cell r="Q2929">
            <v>15</v>
          </cell>
          <cell r="R2929">
            <v>222</v>
          </cell>
          <cell r="S2929">
            <v>4</v>
          </cell>
          <cell r="T2929">
            <v>307</v>
          </cell>
          <cell r="U2929">
            <v>0</v>
          </cell>
          <cell r="V2929">
            <v>428.66666670888662</v>
          </cell>
          <cell r="W2929">
            <v>160.75000001583248</v>
          </cell>
          <cell r="X2929">
            <v>2379.1000002343208</v>
          </cell>
          <cell r="Y2929">
            <v>42.866666670888662</v>
          </cell>
          <cell r="Z2929">
            <v>3290.0166669907048</v>
          </cell>
        </row>
        <row r="2930">
          <cell r="C2930" t="str">
            <v>EDİRNE</v>
          </cell>
          <cell r="D2930" t="str">
            <v>UZUNKÖPRÜ</v>
          </cell>
          <cell r="H2930" t="str">
            <v>Dağıtım-OG</v>
          </cell>
          <cell r="I2930" t="str">
            <v>Uzun</v>
          </cell>
          <cell r="J2930" t="str">
            <v>Şebeke İşletmecisi</v>
          </cell>
          <cell r="K2930" t="str">
            <v>Bildirimsiz</v>
          </cell>
          <cell r="O2930">
            <v>4</v>
          </cell>
          <cell r="P2930">
            <v>0</v>
          </cell>
          <cell r="Q2930">
            <v>0</v>
          </cell>
          <cell r="R2930">
            <v>0</v>
          </cell>
          <cell r="S2930">
            <v>3</v>
          </cell>
          <cell r="T2930">
            <v>0</v>
          </cell>
          <cell r="U2930">
            <v>42.600000025704503</v>
          </cell>
          <cell r="V2930">
            <v>0</v>
          </cell>
          <cell r="W2930">
            <v>0</v>
          </cell>
          <cell r="X2930">
            <v>0</v>
          </cell>
          <cell r="Y2930">
            <v>31.950000019278377</v>
          </cell>
          <cell r="Z2930">
            <v>0</v>
          </cell>
        </row>
        <row r="2931">
          <cell r="C2931" t="str">
            <v>TEKİRDAĞ</v>
          </cell>
          <cell r="D2931" t="str">
            <v>ÇORLU</v>
          </cell>
          <cell r="H2931" t="str">
            <v>Dağıtım-OG</v>
          </cell>
          <cell r="I2931" t="str">
            <v>Uzun</v>
          </cell>
          <cell r="J2931" t="str">
            <v>Şebeke işletmecisi</v>
          </cell>
          <cell r="K2931" t="str">
            <v>Bildirimsiz</v>
          </cell>
          <cell r="O2931">
            <v>0</v>
          </cell>
          <cell r="P2931">
            <v>843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8963.9000021328684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</row>
        <row r="2932">
          <cell r="C2932" t="str">
            <v>TEKİRDAĞ</v>
          </cell>
          <cell r="D2932" t="str">
            <v>MARMARAEREĞLİSİ</v>
          </cell>
          <cell r="H2932" t="str">
            <v>Dağıtım-AG</v>
          </cell>
          <cell r="I2932" t="str">
            <v>Uzun</v>
          </cell>
          <cell r="J2932" t="str">
            <v>Şebeke işletmecisi</v>
          </cell>
          <cell r="K2932" t="str">
            <v>Bildirimsiz</v>
          </cell>
          <cell r="O2932">
            <v>0</v>
          </cell>
          <cell r="P2932">
            <v>0</v>
          </cell>
          <cell r="Q2932">
            <v>0</v>
          </cell>
          <cell r="R2932">
            <v>53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561.80000027641654</v>
          </cell>
          <cell r="Y2932">
            <v>0</v>
          </cell>
          <cell r="Z2932">
            <v>0</v>
          </cell>
        </row>
        <row r="2933">
          <cell r="C2933" t="str">
            <v>TEKİRDAĞ</v>
          </cell>
          <cell r="D2933" t="str">
            <v>SÜLEYMANPAŞA</v>
          </cell>
          <cell r="H2933" t="str">
            <v>Dağıtım-AG</v>
          </cell>
          <cell r="I2933" t="str">
            <v>Uzun</v>
          </cell>
          <cell r="J2933" t="str">
            <v>Şebeke işletmecisi</v>
          </cell>
          <cell r="K2933" t="str">
            <v>Bildirimsiz</v>
          </cell>
          <cell r="O2933">
            <v>0</v>
          </cell>
          <cell r="P2933">
            <v>46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487.6000002399087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</row>
        <row r="2934">
          <cell r="C2934" t="str">
            <v>TEKİRDAĞ</v>
          </cell>
          <cell r="D2934" t="str">
            <v>ÇORLU</v>
          </cell>
          <cell r="H2934" t="str">
            <v>Dağıtım-OG</v>
          </cell>
          <cell r="I2934" t="str">
            <v>Uzun</v>
          </cell>
          <cell r="J2934" t="str">
            <v>Şebeke işletmecisi</v>
          </cell>
          <cell r="K2934" t="str">
            <v>Bildirimsiz</v>
          </cell>
          <cell r="O2934">
            <v>19</v>
          </cell>
          <cell r="P2934">
            <v>14755</v>
          </cell>
          <cell r="Q2934">
            <v>0</v>
          </cell>
          <cell r="R2934">
            <v>1</v>
          </cell>
          <cell r="S2934">
            <v>0</v>
          </cell>
          <cell r="T2934">
            <v>0</v>
          </cell>
          <cell r="U2934">
            <v>200.76666681678034</v>
          </cell>
          <cell r="V2934">
            <v>155911.16678324179</v>
          </cell>
          <cell r="W2934">
            <v>0</v>
          </cell>
          <cell r="X2934">
            <v>10.566666674567387</v>
          </cell>
          <cell r="Y2934">
            <v>0</v>
          </cell>
          <cell r="Z2934">
            <v>0</v>
          </cell>
        </row>
        <row r="2935">
          <cell r="C2935" t="str">
            <v>EDİRNE</v>
          </cell>
          <cell r="D2935" t="str">
            <v>KEŞAN</v>
          </cell>
          <cell r="H2935" t="str">
            <v>Dağıtım-AG</v>
          </cell>
          <cell r="I2935" t="str">
            <v>Uzun</v>
          </cell>
          <cell r="J2935" t="str">
            <v>Şebeke işletmecisi</v>
          </cell>
          <cell r="K2935" t="str">
            <v>Bildirimsiz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17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179.35000006807968</v>
          </cell>
        </row>
        <row r="2936">
          <cell r="C2936" t="str">
            <v>TEKİRDAĞ</v>
          </cell>
          <cell r="D2936" t="str">
            <v>MARMARAEREĞLİSİ</v>
          </cell>
          <cell r="H2936" t="str">
            <v>Dağıtım-AG</v>
          </cell>
          <cell r="I2936" t="str">
            <v>Uzun</v>
          </cell>
          <cell r="J2936" t="str">
            <v>Şebeke işletmecisi</v>
          </cell>
          <cell r="K2936" t="str">
            <v>Bildirimsiz</v>
          </cell>
          <cell r="O2936">
            <v>0</v>
          </cell>
          <cell r="P2936">
            <v>110</v>
          </cell>
          <cell r="Q2936">
            <v>0</v>
          </cell>
          <cell r="R2936">
            <v>1</v>
          </cell>
          <cell r="S2936">
            <v>0</v>
          </cell>
          <cell r="T2936">
            <v>0</v>
          </cell>
          <cell r="U2936">
            <v>0</v>
          </cell>
          <cell r="V2936">
            <v>1158.6666666786186</v>
          </cell>
          <cell r="W2936">
            <v>0</v>
          </cell>
          <cell r="X2936">
            <v>10.533333333441988</v>
          </cell>
          <cell r="Y2936">
            <v>0</v>
          </cell>
          <cell r="Z2936">
            <v>0</v>
          </cell>
        </row>
        <row r="2937">
          <cell r="C2937" t="str">
            <v>TEKİRDAĞ</v>
          </cell>
          <cell r="D2937" t="str">
            <v>SÜLEYMANPAŞA</v>
          </cell>
          <cell r="H2937" t="str">
            <v>Dağıtım-AG</v>
          </cell>
          <cell r="I2937" t="str">
            <v>Uzun</v>
          </cell>
          <cell r="J2937" t="str">
            <v>Şebeke işletmecisi</v>
          </cell>
          <cell r="K2937" t="str">
            <v>Bildirimsiz</v>
          </cell>
          <cell r="O2937">
            <v>0</v>
          </cell>
          <cell r="P2937">
            <v>3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31.600000000325963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</row>
        <row r="2938">
          <cell r="C2938" t="str">
            <v>TEKİRDAĞ</v>
          </cell>
          <cell r="D2938" t="str">
            <v>SÜLEYMANPAŞA</v>
          </cell>
          <cell r="H2938" t="str">
            <v>Dağıtım-OG</v>
          </cell>
          <cell r="I2938" t="str">
            <v>Uzun</v>
          </cell>
          <cell r="J2938" t="str">
            <v>Şebeke işletmecisi</v>
          </cell>
          <cell r="K2938" t="str">
            <v>Bildirimsiz</v>
          </cell>
          <cell r="O2938">
            <v>5</v>
          </cell>
          <cell r="P2938">
            <v>1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52.583333366783336</v>
          </cell>
          <cell r="V2938">
            <v>10.516666673356667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</row>
        <row r="2939">
          <cell r="C2939" t="str">
            <v>EDİRNE</v>
          </cell>
          <cell r="D2939" t="str">
            <v>UZUNKÖPRÜ</v>
          </cell>
          <cell r="H2939" t="str">
            <v>Dağıtım-OG</v>
          </cell>
          <cell r="I2939" t="str">
            <v>Uzun</v>
          </cell>
          <cell r="J2939" t="str">
            <v>Şebeke İşletmecisi</v>
          </cell>
          <cell r="K2939" t="str">
            <v>Bildirimsiz</v>
          </cell>
          <cell r="O2939">
            <v>1</v>
          </cell>
          <cell r="P2939">
            <v>0</v>
          </cell>
          <cell r="Q2939">
            <v>0</v>
          </cell>
          <cell r="R2939">
            <v>0</v>
          </cell>
          <cell r="S2939">
            <v>3</v>
          </cell>
          <cell r="T2939">
            <v>0</v>
          </cell>
          <cell r="U2939">
            <v>10.516666662879288</v>
          </cell>
          <cell r="V2939">
            <v>0</v>
          </cell>
          <cell r="W2939">
            <v>0</v>
          </cell>
          <cell r="X2939">
            <v>0</v>
          </cell>
          <cell r="Y2939">
            <v>31.549999988637865</v>
          </cell>
          <cell r="Z2939">
            <v>0</v>
          </cell>
        </row>
        <row r="2940">
          <cell r="C2940" t="str">
            <v>TEKİRDAĞ</v>
          </cell>
          <cell r="D2940" t="str">
            <v>MURATLI</v>
          </cell>
          <cell r="H2940" t="str">
            <v>Dağıtım-OG</v>
          </cell>
          <cell r="I2940" t="str">
            <v>Uzun</v>
          </cell>
          <cell r="J2940" t="str">
            <v>Şebeke işletmecisi</v>
          </cell>
          <cell r="K2940" t="str">
            <v>Bildirimsiz</v>
          </cell>
          <cell r="O2940">
            <v>0</v>
          </cell>
          <cell r="P2940">
            <v>355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  <cell r="U2940">
            <v>0</v>
          </cell>
          <cell r="V2940">
            <v>3733.4166653221473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</row>
        <row r="2941">
          <cell r="C2941" t="str">
            <v>TEKİRDAĞ</v>
          </cell>
          <cell r="D2941" t="str">
            <v>KAPAKLI</v>
          </cell>
          <cell r="H2941" t="str">
            <v>Dağıtım-AG</v>
          </cell>
          <cell r="I2941" t="str">
            <v>Uzun</v>
          </cell>
          <cell r="J2941" t="str">
            <v>Şebeke işletmecisi</v>
          </cell>
          <cell r="K2941" t="str">
            <v>Bildirimsiz</v>
          </cell>
          <cell r="O2941">
            <v>0</v>
          </cell>
          <cell r="P2941">
            <v>370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3891.1666652653366</v>
          </cell>
          <cell r="W2941">
            <v>0</v>
          </cell>
          <cell r="X2941">
            <v>0</v>
          </cell>
          <cell r="Y2941">
            <v>0</v>
          </cell>
          <cell r="Z2941">
            <v>0</v>
          </cell>
        </row>
        <row r="2942">
          <cell r="C2942" t="str">
            <v>KIRKLARELİ</v>
          </cell>
          <cell r="D2942" t="str">
            <v>KIRKLARELİMERKEZ</v>
          </cell>
          <cell r="H2942" t="str">
            <v>Dağıtım-AG</v>
          </cell>
          <cell r="I2942" t="str">
            <v>Uzun</v>
          </cell>
          <cell r="J2942" t="str">
            <v>Şebeke işletmecisi</v>
          </cell>
          <cell r="K2942" t="str">
            <v>Bildirimsiz</v>
          </cell>
          <cell r="O2942">
            <v>0</v>
          </cell>
          <cell r="P2942">
            <v>177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>
            <v>0</v>
          </cell>
          <cell r="V2942">
            <v>1861.449999329634</v>
          </cell>
          <cell r="W2942">
            <v>0</v>
          </cell>
          <cell r="X2942">
            <v>0</v>
          </cell>
          <cell r="Y2942">
            <v>0</v>
          </cell>
          <cell r="Z2942">
            <v>0</v>
          </cell>
        </row>
        <row r="2943">
          <cell r="C2943" t="str">
            <v>EDİRNE</v>
          </cell>
          <cell r="D2943" t="str">
            <v>EDİRNEMERKEZ</v>
          </cell>
          <cell r="H2943" t="str">
            <v>Dağıtım-AG</v>
          </cell>
          <cell r="I2943" t="str">
            <v>Uzun</v>
          </cell>
          <cell r="J2943" t="str">
            <v>Şebeke işletmecisi</v>
          </cell>
          <cell r="K2943" t="str">
            <v>Bildirimsiz</v>
          </cell>
          <cell r="O2943">
            <v>0</v>
          </cell>
          <cell r="P2943">
            <v>1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>
            <v>0</v>
          </cell>
          <cell r="V2943">
            <v>10.499999992316589</v>
          </cell>
          <cell r="W2943">
            <v>0</v>
          </cell>
          <cell r="X2943">
            <v>0</v>
          </cell>
          <cell r="Y2943">
            <v>0</v>
          </cell>
          <cell r="Z2943">
            <v>0</v>
          </cell>
        </row>
        <row r="2944">
          <cell r="C2944" t="str">
            <v>TEKİRDAĞ</v>
          </cell>
          <cell r="D2944" t="str">
            <v>MALKARA</v>
          </cell>
          <cell r="H2944" t="str">
            <v>Dağıtım-OG</v>
          </cell>
          <cell r="I2944" t="str">
            <v>Uzun</v>
          </cell>
          <cell r="J2944" t="str">
            <v>Şebeke İşletmecisi</v>
          </cell>
          <cell r="K2944" t="str">
            <v>Bildirimsiz</v>
          </cell>
          <cell r="O2944">
            <v>8</v>
          </cell>
          <cell r="P2944">
            <v>407</v>
          </cell>
          <cell r="Q2944">
            <v>0</v>
          </cell>
          <cell r="R2944">
            <v>9</v>
          </cell>
          <cell r="S2944">
            <v>1</v>
          </cell>
          <cell r="T2944">
            <v>10</v>
          </cell>
          <cell r="U2944">
            <v>83.866666741669178</v>
          </cell>
          <cell r="V2944">
            <v>4266.7166704824194</v>
          </cell>
          <cell r="W2944">
            <v>0</v>
          </cell>
          <cell r="X2944">
            <v>94.350000084377825</v>
          </cell>
          <cell r="Y2944">
            <v>10.483333342708647</v>
          </cell>
          <cell r="Z2944">
            <v>104.83333342708647</v>
          </cell>
        </row>
        <row r="2945">
          <cell r="C2945" t="str">
            <v>KIRKLARELİ</v>
          </cell>
          <cell r="D2945" t="str">
            <v>BABAESKİ</v>
          </cell>
          <cell r="H2945" t="str">
            <v>Dağıtım-AG</v>
          </cell>
          <cell r="I2945" t="str">
            <v>Uzun</v>
          </cell>
          <cell r="J2945" t="str">
            <v>Şebeke işletmecisi</v>
          </cell>
          <cell r="K2945" t="str">
            <v>Bildirimsiz</v>
          </cell>
          <cell r="O2945">
            <v>0</v>
          </cell>
          <cell r="P2945">
            <v>44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  <cell r="U2945">
            <v>0</v>
          </cell>
          <cell r="V2945">
            <v>461.2666666181758</v>
          </cell>
          <cell r="W2945">
            <v>0</v>
          </cell>
          <cell r="X2945">
            <v>0</v>
          </cell>
          <cell r="Y2945">
            <v>0</v>
          </cell>
          <cell r="Z2945">
            <v>0</v>
          </cell>
        </row>
        <row r="2946">
          <cell r="C2946" t="str">
            <v>KIRKLARELİ</v>
          </cell>
          <cell r="D2946" t="str">
            <v>PINARHİSAR</v>
          </cell>
          <cell r="H2946" t="str">
            <v>Dağıtım-OG</v>
          </cell>
          <cell r="I2946" t="str">
            <v>Uzun</v>
          </cell>
          <cell r="J2946" t="str">
            <v>Şebeke İşletmecisi</v>
          </cell>
          <cell r="K2946" t="str">
            <v>Bildirimsiz</v>
          </cell>
          <cell r="O2946">
            <v>0</v>
          </cell>
          <cell r="P2946">
            <v>0</v>
          </cell>
          <cell r="Q2946">
            <v>6</v>
          </cell>
          <cell r="R2946">
            <v>0</v>
          </cell>
          <cell r="S2946">
            <v>15</v>
          </cell>
          <cell r="T2946">
            <v>1888</v>
          </cell>
          <cell r="U2946">
            <v>0</v>
          </cell>
          <cell r="V2946">
            <v>0</v>
          </cell>
          <cell r="W2946">
            <v>62.70000000949949</v>
          </cell>
          <cell r="X2946">
            <v>0</v>
          </cell>
          <cell r="Y2946">
            <v>156.75000002374873</v>
          </cell>
          <cell r="Z2946">
            <v>19729.600002989173</v>
          </cell>
        </row>
        <row r="2947">
          <cell r="C2947" t="str">
            <v>EDİRNE</v>
          </cell>
          <cell r="D2947" t="str">
            <v>UZUNKÖPRÜ</v>
          </cell>
          <cell r="H2947" t="str">
            <v>Dağıtım-AG</v>
          </cell>
          <cell r="I2947" t="str">
            <v>Uzun</v>
          </cell>
          <cell r="J2947" t="str">
            <v>Şebeke işletmecisi</v>
          </cell>
          <cell r="K2947" t="str">
            <v>Bildirimsiz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54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564.30000008549541</v>
          </cell>
        </row>
        <row r="2948">
          <cell r="C2948" t="str">
            <v>TEKİRDAĞ</v>
          </cell>
          <cell r="D2948" t="str">
            <v>HAYRABOLU</v>
          </cell>
          <cell r="H2948" t="str">
            <v>Dağıtım-OG</v>
          </cell>
          <cell r="I2948" t="str">
            <v>Uzun</v>
          </cell>
          <cell r="J2948" t="str">
            <v>Şebeke işletmecisi</v>
          </cell>
          <cell r="K2948" t="str">
            <v>Bildirimli</v>
          </cell>
          <cell r="O2948">
            <v>0</v>
          </cell>
          <cell r="P2948">
            <v>0</v>
          </cell>
          <cell r="Q2948">
            <v>2</v>
          </cell>
          <cell r="R2948">
            <v>1457</v>
          </cell>
          <cell r="S2948">
            <v>0</v>
          </cell>
          <cell r="T2948">
            <v>1</v>
          </cell>
          <cell r="U2948">
            <v>0</v>
          </cell>
          <cell r="V2948">
            <v>0</v>
          </cell>
          <cell r="W2948">
            <v>20.900000003166497</v>
          </cell>
          <cell r="X2948">
            <v>15225.650002306793</v>
          </cell>
          <cell r="Y2948">
            <v>0</v>
          </cell>
          <cell r="Z2948">
            <v>10.450000001583248</v>
          </cell>
        </row>
        <row r="2949">
          <cell r="C2949" t="str">
            <v>EDİRNE</v>
          </cell>
          <cell r="D2949" t="str">
            <v>EDİRNEMERKEZ</v>
          </cell>
          <cell r="H2949" t="str">
            <v>Dağıtım-OG</v>
          </cell>
          <cell r="I2949" t="str">
            <v>Uzun</v>
          </cell>
          <cell r="J2949" t="str">
            <v>Şebeke işletmecisi</v>
          </cell>
          <cell r="K2949" t="str">
            <v>Bildirimsiz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102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1064.199999764096</v>
          </cell>
        </row>
        <row r="2950">
          <cell r="C2950" t="str">
            <v>TEKİRDAĞ</v>
          </cell>
          <cell r="D2950" t="str">
            <v>SÜLEYMANPAŞA</v>
          </cell>
          <cell r="H2950" t="str">
            <v>Dağıtım-AG</v>
          </cell>
          <cell r="I2950" t="str">
            <v>Uzun</v>
          </cell>
          <cell r="J2950" t="str">
            <v>Şebeke işletmecisi</v>
          </cell>
          <cell r="K2950" t="str">
            <v>Bildirimsiz</v>
          </cell>
          <cell r="O2950">
            <v>0</v>
          </cell>
          <cell r="P2950">
            <v>333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  <cell r="U2950">
            <v>0</v>
          </cell>
          <cell r="V2950">
            <v>3468.7500014214311</v>
          </cell>
          <cell r="W2950">
            <v>0</v>
          </cell>
          <cell r="X2950">
            <v>0</v>
          </cell>
          <cell r="Y2950">
            <v>0</v>
          </cell>
          <cell r="Z2950">
            <v>0</v>
          </cell>
        </row>
        <row r="2951">
          <cell r="C2951" t="str">
            <v>EDİRNE</v>
          </cell>
          <cell r="D2951" t="str">
            <v>UZUNKÖPRÜ</v>
          </cell>
          <cell r="H2951" t="str">
            <v>Dağıtım-OG</v>
          </cell>
          <cell r="I2951" t="str">
            <v>Uzun</v>
          </cell>
          <cell r="J2951" t="str">
            <v>Şebeke İşletmecisi</v>
          </cell>
          <cell r="K2951" t="str">
            <v>Bildirimsiz</v>
          </cell>
          <cell r="O2951">
            <v>12</v>
          </cell>
          <cell r="P2951">
            <v>137</v>
          </cell>
          <cell r="Q2951">
            <v>0</v>
          </cell>
          <cell r="R2951">
            <v>0</v>
          </cell>
          <cell r="S2951">
            <v>37</v>
          </cell>
          <cell r="T2951">
            <v>1926</v>
          </cell>
          <cell r="U2951">
            <v>124.80000000447035</v>
          </cell>
          <cell r="V2951">
            <v>1424.8000000510365</v>
          </cell>
          <cell r="W2951">
            <v>0</v>
          </cell>
          <cell r="X2951">
            <v>0</v>
          </cell>
          <cell r="Y2951">
            <v>384.80000001378357</v>
          </cell>
          <cell r="Z2951">
            <v>20030.400000717491</v>
          </cell>
        </row>
        <row r="2952">
          <cell r="C2952" t="str">
            <v>KIRKLARELİ</v>
          </cell>
          <cell r="D2952" t="str">
            <v>BABAESKİ</v>
          </cell>
          <cell r="H2952" t="str">
            <v>Dağıtım-AG</v>
          </cell>
          <cell r="I2952" t="str">
            <v>Uzun</v>
          </cell>
          <cell r="J2952" t="str">
            <v>Şebeke işletmecisi</v>
          </cell>
          <cell r="K2952" t="str">
            <v>Bildirimsiz</v>
          </cell>
          <cell r="O2952">
            <v>0</v>
          </cell>
          <cell r="P2952">
            <v>0</v>
          </cell>
          <cell r="Q2952">
            <v>0</v>
          </cell>
          <cell r="R2952">
            <v>333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3457.6499988266733</v>
          </cell>
          <cell r="Y2952">
            <v>0</v>
          </cell>
          <cell r="Z2952">
            <v>0</v>
          </cell>
        </row>
        <row r="2953">
          <cell r="C2953" t="str">
            <v>TEKİRDAĞ</v>
          </cell>
          <cell r="D2953" t="str">
            <v>SÜLEYMANPAŞA</v>
          </cell>
          <cell r="H2953" t="str">
            <v>Dağıtım-OG</v>
          </cell>
          <cell r="I2953" t="str">
            <v>Uzun</v>
          </cell>
          <cell r="J2953" t="str">
            <v>Şebeke İşletmecisi</v>
          </cell>
          <cell r="K2953" t="str">
            <v>Bildirimsiz</v>
          </cell>
          <cell r="O2953">
            <v>14</v>
          </cell>
          <cell r="P2953">
            <v>3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  <cell r="U2953">
            <v>144.20000011799857</v>
          </cell>
          <cell r="V2953">
            <v>30.900000025285408</v>
          </cell>
          <cell r="W2953">
            <v>0</v>
          </cell>
          <cell r="X2953">
            <v>0</v>
          </cell>
          <cell r="Y2953">
            <v>0</v>
          </cell>
          <cell r="Z2953">
            <v>0</v>
          </cell>
        </row>
        <row r="2954">
          <cell r="C2954" t="str">
            <v>EDİRNE</v>
          </cell>
          <cell r="D2954" t="str">
            <v>UZUNKÖPRÜ</v>
          </cell>
          <cell r="H2954" t="str">
            <v>Dağıtım-AG</v>
          </cell>
          <cell r="I2954" t="str">
            <v>Uzun</v>
          </cell>
          <cell r="J2954" t="str">
            <v>Şebeke işletmecisi</v>
          </cell>
          <cell r="K2954" t="str">
            <v>Bildirimsiz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18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184.80000001145527</v>
          </cell>
        </row>
        <row r="2955">
          <cell r="C2955" t="str">
            <v>TEKİRDAĞ</v>
          </cell>
          <cell r="D2955" t="str">
            <v>ÇORLU</v>
          </cell>
          <cell r="H2955" t="str">
            <v>Dağıtım-OG</v>
          </cell>
          <cell r="I2955" t="str">
            <v>Uzun</v>
          </cell>
          <cell r="J2955" t="str">
            <v>Şebeke İşletmecisi</v>
          </cell>
          <cell r="K2955" t="str">
            <v>Bildirimsiz</v>
          </cell>
          <cell r="O2955">
            <v>19</v>
          </cell>
          <cell r="P2955">
            <v>18</v>
          </cell>
          <cell r="Q2955">
            <v>0</v>
          </cell>
          <cell r="R2955">
            <v>0</v>
          </cell>
          <cell r="S2955">
            <v>0</v>
          </cell>
          <cell r="T2955">
            <v>1</v>
          </cell>
          <cell r="U2955">
            <v>195.06666667875834</v>
          </cell>
          <cell r="V2955">
            <v>184.80000001145527</v>
          </cell>
          <cell r="W2955">
            <v>0</v>
          </cell>
          <cell r="X2955">
            <v>0</v>
          </cell>
          <cell r="Y2955">
            <v>0</v>
          </cell>
          <cell r="Z2955">
            <v>10.26666666730307</v>
          </cell>
        </row>
        <row r="2956">
          <cell r="C2956" t="str">
            <v>TEKİRDAĞ</v>
          </cell>
          <cell r="D2956" t="str">
            <v>ÇERKEZKÖY</v>
          </cell>
          <cell r="H2956" t="str">
            <v>Dağıtım-AG</v>
          </cell>
          <cell r="I2956" t="str">
            <v>Uzun</v>
          </cell>
          <cell r="J2956" t="str">
            <v>Şebeke işletmecisi</v>
          </cell>
          <cell r="K2956" t="str">
            <v>Bildirimsiz</v>
          </cell>
          <cell r="O2956">
            <v>0</v>
          </cell>
          <cell r="P2956">
            <v>185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1899.333333451068</v>
          </cell>
          <cell r="W2956">
            <v>0</v>
          </cell>
          <cell r="X2956">
            <v>0</v>
          </cell>
          <cell r="Y2956">
            <v>0</v>
          </cell>
          <cell r="Z2956">
            <v>0</v>
          </cell>
        </row>
        <row r="2957">
          <cell r="C2957" t="str">
            <v>TEKİRDAĞ</v>
          </cell>
          <cell r="D2957" t="str">
            <v>MARMARAEREĞLİSİ</v>
          </cell>
          <cell r="H2957" t="str">
            <v>Dağıtım-AG</v>
          </cell>
          <cell r="I2957" t="str">
            <v>Uzun</v>
          </cell>
          <cell r="J2957" t="str">
            <v>Şebeke işletmecisi</v>
          </cell>
          <cell r="K2957" t="str">
            <v>Bildirimsiz</v>
          </cell>
          <cell r="O2957">
            <v>0</v>
          </cell>
          <cell r="P2957">
            <v>29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  <cell r="U2957">
            <v>0</v>
          </cell>
          <cell r="V2957">
            <v>296.28333331667818</v>
          </cell>
          <cell r="W2957">
            <v>0</v>
          </cell>
          <cell r="X2957">
            <v>0</v>
          </cell>
          <cell r="Y2957">
            <v>0</v>
          </cell>
          <cell r="Z2957">
            <v>0</v>
          </cell>
        </row>
        <row r="2958">
          <cell r="C2958" t="str">
            <v>EDİRNE</v>
          </cell>
          <cell r="D2958" t="str">
            <v>KEŞAN</v>
          </cell>
          <cell r="H2958" t="str">
            <v>Dağıtım-OG</v>
          </cell>
          <cell r="I2958" t="str">
            <v>Uzun</v>
          </cell>
          <cell r="J2958" t="str">
            <v>Şebeke işletmecisi</v>
          </cell>
          <cell r="K2958" t="str">
            <v>Bildirimsiz</v>
          </cell>
          <cell r="O2958">
            <v>0</v>
          </cell>
          <cell r="P2958">
            <v>4</v>
          </cell>
          <cell r="Q2958">
            <v>0</v>
          </cell>
          <cell r="R2958">
            <v>0</v>
          </cell>
          <cell r="S2958">
            <v>0</v>
          </cell>
          <cell r="T2958">
            <v>2371</v>
          </cell>
          <cell r="U2958">
            <v>0</v>
          </cell>
          <cell r="V2958">
            <v>40.800000024028122</v>
          </cell>
          <cell r="W2958">
            <v>0</v>
          </cell>
          <cell r="X2958">
            <v>0</v>
          </cell>
          <cell r="Y2958">
            <v>0</v>
          </cell>
          <cell r="Z2958">
            <v>24184.20001424267</v>
          </cell>
        </row>
        <row r="2959">
          <cell r="C2959" t="str">
            <v>KIRKLARELİ</v>
          </cell>
          <cell r="D2959" t="str">
            <v>LÜLEBURGAZ</v>
          </cell>
          <cell r="H2959" t="str">
            <v>Dağıtım-AG</v>
          </cell>
          <cell r="I2959" t="str">
            <v>Uzun</v>
          </cell>
          <cell r="J2959" t="str">
            <v>Şebeke işletmecisi</v>
          </cell>
          <cell r="K2959" t="str">
            <v>Bildirimsiz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92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938.39999958872795</v>
          </cell>
        </row>
        <row r="2960">
          <cell r="C2960" t="str">
            <v>KIRKLARELİ</v>
          </cell>
          <cell r="D2960" t="str">
            <v>KIRKLARELİMERKEZ</v>
          </cell>
          <cell r="H2960" t="str">
            <v>Dağıtım-OG</v>
          </cell>
          <cell r="I2960" t="str">
            <v>Uzun</v>
          </cell>
          <cell r="J2960" t="str">
            <v>Şebeke İşletmecisi</v>
          </cell>
          <cell r="K2960" t="str">
            <v>Bildirimsiz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2</v>
          </cell>
          <cell r="T2960">
            <v>129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20.333333329763263</v>
          </cell>
          <cell r="Z2960">
            <v>1311.4999997697305</v>
          </cell>
        </row>
        <row r="2961">
          <cell r="C2961" t="str">
            <v>EDİRNE</v>
          </cell>
          <cell r="D2961" t="str">
            <v>UZUNKÖPRÜ</v>
          </cell>
          <cell r="H2961" t="str">
            <v>Dağıtım-AG</v>
          </cell>
          <cell r="I2961" t="str">
            <v>Uzun</v>
          </cell>
          <cell r="J2961" t="str">
            <v>Şebeke işletmecisi</v>
          </cell>
          <cell r="K2961" t="str">
            <v>Bildirimsiz</v>
          </cell>
          <cell r="O2961">
            <v>0</v>
          </cell>
          <cell r="P2961">
            <v>0</v>
          </cell>
          <cell r="Q2961">
            <v>0</v>
          </cell>
          <cell r="R2961">
            <v>88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888.80000031553209</v>
          </cell>
          <cell r="Y2961">
            <v>0</v>
          </cell>
          <cell r="Z2961">
            <v>0</v>
          </cell>
        </row>
        <row r="2962">
          <cell r="C2962" t="str">
            <v>EDİRNE</v>
          </cell>
          <cell r="D2962" t="str">
            <v>MERİÇ</v>
          </cell>
          <cell r="H2962" t="str">
            <v>Dağıtım-OG</v>
          </cell>
          <cell r="I2962" t="str">
            <v>Uzun</v>
          </cell>
          <cell r="J2962" t="str">
            <v>Şebeke İşletmecisi</v>
          </cell>
          <cell r="K2962" t="str">
            <v>Bildirimsiz</v>
          </cell>
          <cell r="O2962">
            <v>0</v>
          </cell>
          <cell r="P2962">
            <v>0</v>
          </cell>
          <cell r="Q2962">
            <v>0</v>
          </cell>
          <cell r="R2962">
            <v>2</v>
          </cell>
          <cell r="S2962">
            <v>2</v>
          </cell>
          <cell r="T2962">
            <v>338</v>
          </cell>
          <cell r="U2962">
            <v>0</v>
          </cell>
          <cell r="V2962">
            <v>0</v>
          </cell>
          <cell r="W2962">
            <v>0</v>
          </cell>
          <cell r="X2962">
            <v>20.166666666045785</v>
          </cell>
          <cell r="Y2962">
            <v>20.166666666045785</v>
          </cell>
          <cell r="Z2962">
            <v>3408.1666665617377</v>
          </cell>
        </row>
        <row r="2963">
          <cell r="C2963" t="str">
            <v>KIRKLARELİ</v>
          </cell>
          <cell r="D2963" t="str">
            <v>BABAESKİ</v>
          </cell>
          <cell r="H2963" t="str">
            <v>Dağıtım-AG</v>
          </cell>
          <cell r="I2963" t="str">
            <v>Uzun</v>
          </cell>
          <cell r="J2963" t="str">
            <v>Şebeke işletmecisi</v>
          </cell>
          <cell r="K2963" t="str">
            <v>Bildirimsiz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79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795.26666633435525</v>
          </cell>
        </row>
        <row r="2964">
          <cell r="C2964" t="str">
            <v>EDİRNE</v>
          </cell>
          <cell r="D2964" t="str">
            <v>UZUNKÖPRÜ</v>
          </cell>
          <cell r="H2964" t="str">
            <v>Dağıtım-AG</v>
          </cell>
          <cell r="I2964" t="str">
            <v>Uzun</v>
          </cell>
          <cell r="J2964" t="str">
            <v>Şebeke işletmecisi</v>
          </cell>
          <cell r="K2964" t="str">
            <v>Bildirimsiz</v>
          </cell>
          <cell r="O2964">
            <v>0</v>
          </cell>
          <cell r="P2964">
            <v>153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  <cell r="U2964">
            <v>0</v>
          </cell>
          <cell r="V2964">
            <v>1537.6500003633555</v>
          </cell>
          <cell r="W2964">
            <v>0</v>
          </cell>
          <cell r="X2964">
            <v>0</v>
          </cell>
          <cell r="Y2964">
            <v>0</v>
          </cell>
          <cell r="Z2964">
            <v>0</v>
          </cell>
        </row>
        <row r="2965">
          <cell r="C2965" t="str">
            <v>EDİRNE</v>
          </cell>
          <cell r="D2965" t="str">
            <v>UZUNKÖPRÜ</v>
          </cell>
          <cell r="H2965" t="str">
            <v>Dağıtım-AG</v>
          </cell>
          <cell r="I2965" t="str">
            <v>Uzun</v>
          </cell>
          <cell r="J2965" t="str">
            <v>Şebeke işletmecisi</v>
          </cell>
          <cell r="K2965" t="str">
            <v>Bildirimsiz</v>
          </cell>
          <cell r="O2965">
            <v>0</v>
          </cell>
          <cell r="P2965">
            <v>62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  <cell r="U2965">
            <v>0</v>
          </cell>
          <cell r="V2965">
            <v>622.06666657235473</v>
          </cell>
          <cell r="W2965">
            <v>0</v>
          </cell>
          <cell r="X2965">
            <v>0</v>
          </cell>
          <cell r="Y2965">
            <v>0</v>
          </cell>
          <cell r="Z2965">
            <v>0</v>
          </cell>
        </row>
        <row r="2966">
          <cell r="C2966" t="str">
            <v>EDİRNE</v>
          </cell>
          <cell r="D2966" t="str">
            <v>EDİRNEMERKEZ</v>
          </cell>
          <cell r="H2966" t="str">
            <v>Dağıtım-AG</v>
          </cell>
          <cell r="I2966" t="str">
            <v>Uzun</v>
          </cell>
          <cell r="J2966" t="str">
            <v>Şebeke işletmecisi</v>
          </cell>
          <cell r="K2966" t="str">
            <v>Bildirimsiz</v>
          </cell>
          <cell r="O2966">
            <v>0</v>
          </cell>
          <cell r="P2966">
            <v>1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  <cell r="U2966">
            <v>0</v>
          </cell>
          <cell r="V2966">
            <v>10.000000001164153</v>
          </cell>
          <cell r="W2966">
            <v>0</v>
          </cell>
          <cell r="X2966">
            <v>0</v>
          </cell>
          <cell r="Y2966">
            <v>0</v>
          </cell>
          <cell r="Z2966">
            <v>0</v>
          </cell>
        </row>
        <row r="2967">
          <cell r="C2967" t="str">
            <v>TEKİRDAĞ</v>
          </cell>
          <cell r="D2967" t="str">
            <v>ŞARKÖY</v>
          </cell>
          <cell r="H2967" t="str">
            <v>Dağıtım-OG</v>
          </cell>
          <cell r="I2967" t="str">
            <v>Uzun</v>
          </cell>
          <cell r="J2967" t="str">
            <v>Şebeke işletmecisi</v>
          </cell>
          <cell r="K2967" t="str">
            <v>Bildirimsiz</v>
          </cell>
          <cell r="O2967">
            <v>2</v>
          </cell>
          <cell r="P2967">
            <v>0</v>
          </cell>
          <cell r="Q2967">
            <v>0</v>
          </cell>
          <cell r="R2967">
            <v>0</v>
          </cell>
          <cell r="S2967">
            <v>1</v>
          </cell>
          <cell r="T2967">
            <v>64</v>
          </cell>
          <cell r="U2967">
            <v>20.000000002328306</v>
          </cell>
          <cell r="V2967">
            <v>0</v>
          </cell>
          <cell r="W2967">
            <v>0</v>
          </cell>
          <cell r="X2967">
            <v>0</v>
          </cell>
          <cell r="Y2967">
            <v>10.000000001164153</v>
          </cell>
          <cell r="Z2967">
            <v>640.00000007450581</v>
          </cell>
        </row>
        <row r="2968">
          <cell r="C2968" t="str">
            <v>TEKİRDAĞ</v>
          </cell>
          <cell r="D2968" t="str">
            <v>ŞARKÖY</v>
          </cell>
          <cell r="H2968" t="str">
            <v>Dağıtım-OG</v>
          </cell>
          <cell r="I2968" t="str">
            <v>Uzun</v>
          </cell>
          <cell r="J2968" t="str">
            <v>Şebeke işletmecisi</v>
          </cell>
          <cell r="K2968" t="str">
            <v>Bildirimsiz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4</v>
          </cell>
          <cell r="T2968">
            <v>210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40.000000004656613</v>
          </cell>
          <cell r="Z2968">
            <v>2100.0000002444722</v>
          </cell>
        </row>
        <row r="2969">
          <cell r="C2969" t="str">
            <v>EDİRNE</v>
          </cell>
          <cell r="D2969" t="str">
            <v>SÜLOĞLU</v>
          </cell>
          <cell r="H2969" t="str">
            <v>Dağıtım-AG</v>
          </cell>
          <cell r="I2969" t="str">
            <v>Uzun</v>
          </cell>
          <cell r="J2969" t="str">
            <v>Şebeke işletmecisi</v>
          </cell>
          <cell r="K2969" t="str">
            <v>Bildirimsiz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24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240.00000002793968</v>
          </cell>
        </row>
        <row r="2970">
          <cell r="C2970" t="str">
            <v>EDİRNE</v>
          </cell>
          <cell r="D2970" t="str">
            <v>HAVSA</v>
          </cell>
          <cell r="H2970" t="str">
            <v>Dağıtım-AG</v>
          </cell>
          <cell r="I2970" t="str">
            <v>Uzun</v>
          </cell>
          <cell r="J2970" t="str">
            <v>Şebeke işletmecisi</v>
          </cell>
          <cell r="K2970" t="str">
            <v>Bildirimsiz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3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30.00000000349246</v>
          </cell>
        </row>
        <row r="2971">
          <cell r="C2971" t="str">
            <v>EDİRNE</v>
          </cell>
          <cell r="D2971" t="str">
            <v>KEŞAN</v>
          </cell>
          <cell r="H2971" t="str">
            <v>Dağıtım-AG</v>
          </cell>
          <cell r="I2971" t="str">
            <v>Uzun</v>
          </cell>
          <cell r="J2971" t="str">
            <v>Şebeke işletmecisi</v>
          </cell>
          <cell r="K2971" t="str">
            <v>Bildirimsiz</v>
          </cell>
          <cell r="O2971">
            <v>0</v>
          </cell>
          <cell r="P2971">
            <v>27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269.9999997485429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</row>
        <row r="2972">
          <cell r="C2972" t="str">
            <v>EDİRNE</v>
          </cell>
          <cell r="D2972" t="str">
            <v>UZUNKÖPRÜ</v>
          </cell>
          <cell r="H2972" t="str">
            <v>Dağıtım-AG</v>
          </cell>
          <cell r="I2972" t="str">
            <v>Uzun</v>
          </cell>
          <cell r="J2972" t="str">
            <v>Şebeke işletmecisi</v>
          </cell>
          <cell r="K2972" t="str">
            <v>Bildirimsiz</v>
          </cell>
          <cell r="O2972">
            <v>0</v>
          </cell>
          <cell r="P2972">
            <v>87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>
            <v>0</v>
          </cell>
          <cell r="V2972">
            <v>867.1000003349036</v>
          </cell>
          <cell r="W2972">
            <v>0</v>
          </cell>
          <cell r="X2972">
            <v>0</v>
          </cell>
          <cell r="Y2972">
            <v>0</v>
          </cell>
          <cell r="Z2972">
            <v>0</v>
          </cell>
        </row>
        <row r="2973">
          <cell r="C2973" t="str">
            <v>EDİRNE</v>
          </cell>
          <cell r="D2973" t="str">
            <v>UZUNKÖPRÜ</v>
          </cell>
          <cell r="H2973" t="str">
            <v>Dağıtım-AG</v>
          </cell>
          <cell r="I2973" t="str">
            <v>Uzun</v>
          </cell>
          <cell r="J2973" t="str">
            <v>Şebeke işletmecisi</v>
          </cell>
          <cell r="K2973" t="str">
            <v>Bildirimsiz</v>
          </cell>
          <cell r="O2973">
            <v>0</v>
          </cell>
          <cell r="P2973">
            <v>119</v>
          </cell>
          <cell r="Q2973">
            <v>0</v>
          </cell>
          <cell r="R2973">
            <v>0</v>
          </cell>
          <cell r="S2973">
            <v>0</v>
          </cell>
          <cell r="T2973">
            <v>2</v>
          </cell>
          <cell r="U2973">
            <v>0</v>
          </cell>
          <cell r="V2973">
            <v>1186.0333337914199</v>
          </cell>
          <cell r="W2973">
            <v>0</v>
          </cell>
          <cell r="X2973">
            <v>0</v>
          </cell>
          <cell r="Y2973">
            <v>0</v>
          </cell>
          <cell r="Z2973">
            <v>19.933333341032267</v>
          </cell>
        </row>
        <row r="2974">
          <cell r="C2974" t="str">
            <v>KIRKLARELİ</v>
          </cell>
          <cell r="D2974" t="str">
            <v>VİZE</v>
          </cell>
          <cell r="H2974" t="str">
            <v>Dağıtım-AG</v>
          </cell>
          <cell r="I2974" t="str">
            <v>Uzun</v>
          </cell>
          <cell r="J2974" t="str">
            <v>Şebeke işletmecisi</v>
          </cell>
          <cell r="K2974" t="str">
            <v>Bildirimsiz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33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327.79999986989424</v>
          </cell>
        </row>
        <row r="2975">
          <cell r="C2975" t="str">
            <v>TEKİRDAĞ</v>
          </cell>
          <cell r="D2975" t="str">
            <v>HAYRABOLU</v>
          </cell>
          <cell r="H2975" t="str">
            <v>Dağıtım-OG</v>
          </cell>
          <cell r="I2975" t="str">
            <v>Uzun</v>
          </cell>
          <cell r="J2975" t="str">
            <v>Şebeke işletmecisi</v>
          </cell>
          <cell r="K2975" t="str">
            <v>Bildirimli</v>
          </cell>
          <cell r="O2975">
            <v>0</v>
          </cell>
          <cell r="P2975">
            <v>0</v>
          </cell>
          <cell r="Q2975">
            <v>2</v>
          </cell>
          <cell r="R2975">
            <v>1457</v>
          </cell>
          <cell r="S2975">
            <v>0</v>
          </cell>
          <cell r="T2975">
            <v>1</v>
          </cell>
          <cell r="U2975">
            <v>0</v>
          </cell>
          <cell r="V2975">
            <v>0</v>
          </cell>
          <cell r="W2975">
            <v>19.666666674893349</v>
          </cell>
          <cell r="X2975">
            <v>14327.166672659805</v>
          </cell>
          <cell r="Y2975">
            <v>0</v>
          </cell>
          <cell r="Z2975">
            <v>9.8333333374466747</v>
          </cell>
        </row>
        <row r="2976">
          <cell r="C2976" t="str">
            <v>TEKİRDAĞ</v>
          </cell>
          <cell r="D2976" t="str">
            <v>ŞARKÖY</v>
          </cell>
          <cell r="H2976" t="str">
            <v>Dağıtım-AG</v>
          </cell>
          <cell r="I2976" t="str">
            <v>Uzun</v>
          </cell>
          <cell r="J2976" t="str">
            <v>Şebeke işletmecisi</v>
          </cell>
          <cell r="K2976" t="str">
            <v>Bildirimsiz</v>
          </cell>
          <cell r="O2976">
            <v>0</v>
          </cell>
          <cell r="P2976">
            <v>18</v>
          </cell>
          <cell r="Q2976">
            <v>0</v>
          </cell>
          <cell r="R2976">
            <v>0</v>
          </cell>
          <cell r="S2976">
            <v>0</v>
          </cell>
          <cell r="T2976">
            <v>6</v>
          </cell>
          <cell r="U2976">
            <v>0</v>
          </cell>
          <cell r="V2976">
            <v>176.1000000522472</v>
          </cell>
          <cell r="W2976">
            <v>0</v>
          </cell>
          <cell r="X2976">
            <v>0</v>
          </cell>
          <cell r="Y2976">
            <v>0</v>
          </cell>
          <cell r="Z2976">
            <v>58.700000017415732</v>
          </cell>
        </row>
        <row r="2977">
          <cell r="C2977" t="str">
            <v>EDİRNE</v>
          </cell>
          <cell r="D2977" t="str">
            <v>KEŞAN</v>
          </cell>
          <cell r="H2977" t="str">
            <v>Dağıtım-AG</v>
          </cell>
          <cell r="I2977" t="str">
            <v>Uzun</v>
          </cell>
          <cell r="J2977" t="str">
            <v>Şebeke işletmecisi</v>
          </cell>
          <cell r="K2977" t="str">
            <v>Bildirimsiz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11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107.61666669859551</v>
          </cell>
        </row>
        <row r="2978">
          <cell r="C2978" t="str">
            <v>KIRKLARELİ</v>
          </cell>
          <cell r="D2978" t="str">
            <v>BABAESKİ</v>
          </cell>
          <cell r="H2978" t="str">
            <v>Dağıtım-AG</v>
          </cell>
          <cell r="I2978" t="str">
            <v>Uzun</v>
          </cell>
          <cell r="J2978" t="str">
            <v>Şebeke işletmecisi</v>
          </cell>
          <cell r="K2978" t="str">
            <v>Bildirimsiz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52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508.73333348426968</v>
          </cell>
        </row>
        <row r="2979">
          <cell r="C2979" t="str">
            <v>TEKİRDAĞ</v>
          </cell>
          <cell r="D2979" t="str">
            <v>MURATLI</v>
          </cell>
          <cell r="H2979" t="str">
            <v>Dağıtım-OG</v>
          </cell>
          <cell r="I2979" t="str">
            <v>Uzun</v>
          </cell>
          <cell r="J2979" t="str">
            <v>Şebeke işletmecisi</v>
          </cell>
          <cell r="K2979" t="str">
            <v>Bildirimsiz</v>
          </cell>
          <cell r="O2979">
            <v>14</v>
          </cell>
          <cell r="P2979">
            <v>847</v>
          </cell>
          <cell r="Q2979">
            <v>0</v>
          </cell>
          <cell r="R2979">
            <v>7</v>
          </cell>
          <cell r="S2979">
            <v>1</v>
          </cell>
          <cell r="T2979">
            <v>493</v>
          </cell>
          <cell r="U2979">
            <v>136.2666666903533</v>
          </cell>
          <cell r="V2979">
            <v>8244.1333347663749</v>
          </cell>
          <cell r="W2979">
            <v>0</v>
          </cell>
          <cell r="X2979">
            <v>68.133333345176652</v>
          </cell>
          <cell r="Y2979">
            <v>9.733333335025236</v>
          </cell>
          <cell r="Z2979">
            <v>4798.5333341674414</v>
          </cell>
        </row>
        <row r="2980">
          <cell r="C2980" t="str">
            <v>EDİRNE</v>
          </cell>
          <cell r="D2980" t="str">
            <v>EDİRNEMERKEZ</v>
          </cell>
          <cell r="H2980" t="str">
            <v>Dağıtım-AG</v>
          </cell>
          <cell r="I2980" t="str">
            <v>Uzun</v>
          </cell>
          <cell r="J2980" t="str">
            <v>Şebeke işletmecisi</v>
          </cell>
          <cell r="K2980" t="str">
            <v>Bildirimsiz</v>
          </cell>
          <cell r="O2980">
            <v>0</v>
          </cell>
          <cell r="P2980">
            <v>335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3249.5000014663674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</row>
        <row r="2981">
          <cell r="C2981" t="str">
            <v>KIRKLARELİ</v>
          </cell>
          <cell r="D2981" t="str">
            <v>LÜLEBURGAZ</v>
          </cell>
          <cell r="H2981" t="str">
            <v>Dağıtım-AG</v>
          </cell>
          <cell r="I2981" t="str">
            <v>Uzun</v>
          </cell>
          <cell r="J2981" t="str">
            <v>Şebeke işletmecisi</v>
          </cell>
          <cell r="K2981" t="str">
            <v>Bildirimsiz</v>
          </cell>
          <cell r="O2981">
            <v>0</v>
          </cell>
          <cell r="P2981">
            <v>94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911.79999942658469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</row>
        <row r="2982">
          <cell r="C2982" t="str">
            <v>EDİRNE</v>
          </cell>
          <cell r="D2982" t="str">
            <v>UZUNKÖPRÜ</v>
          </cell>
          <cell r="H2982" t="str">
            <v>Dağıtım-OG</v>
          </cell>
          <cell r="I2982" t="str">
            <v>Uzun</v>
          </cell>
          <cell r="J2982" t="str">
            <v>Şebeke İşletmecisi</v>
          </cell>
          <cell r="K2982" t="str">
            <v>Bildirimsiz</v>
          </cell>
          <cell r="O2982">
            <v>0</v>
          </cell>
          <cell r="P2982">
            <v>0</v>
          </cell>
          <cell r="Q2982">
            <v>1</v>
          </cell>
          <cell r="R2982">
            <v>173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9.6999999938998371</v>
          </cell>
          <cell r="X2982">
            <v>1678.0999989446718</v>
          </cell>
          <cell r="Y2982">
            <v>0</v>
          </cell>
          <cell r="Z2982">
            <v>0</v>
          </cell>
        </row>
        <row r="2983">
          <cell r="C2983" t="str">
            <v>EDİRNE</v>
          </cell>
          <cell r="D2983" t="str">
            <v>UZUNKÖPRÜ</v>
          </cell>
          <cell r="H2983" t="str">
            <v>Dağıtım-AG</v>
          </cell>
          <cell r="I2983" t="str">
            <v>Uzun</v>
          </cell>
          <cell r="J2983" t="str">
            <v>Şebeke işletmecisi</v>
          </cell>
          <cell r="K2983" t="str">
            <v>Bildirimsiz</v>
          </cell>
          <cell r="O2983">
            <v>0</v>
          </cell>
          <cell r="P2983">
            <v>159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1539.6500000765081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</row>
        <row r="2984">
          <cell r="C2984" t="str">
            <v>TEKİRDAĞ</v>
          </cell>
          <cell r="D2984" t="str">
            <v>MARMARAEREĞLİSİ</v>
          </cell>
          <cell r="H2984" t="str">
            <v>Dağıtım-AG</v>
          </cell>
          <cell r="I2984" t="str">
            <v>Uzun</v>
          </cell>
          <cell r="J2984" t="str">
            <v>Şebeke işletmecisi</v>
          </cell>
          <cell r="K2984" t="str">
            <v>Bildirimsiz</v>
          </cell>
          <cell r="O2984">
            <v>0</v>
          </cell>
          <cell r="P2984">
            <v>0</v>
          </cell>
          <cell r="Q2984">
            <v>0</v>
          </cell>
          <cell r="R2984">
            <v>1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9.6500000031664968</v>
          </cell>
          <cell r="Y2984">
            <v>0</v>
          </cell>
          <cell r="Z2984">
            <v>0</v>
          </cell>
        </row>
        <row r="2985">
          <cell r="C2985" t="str">
            <v>TEKİRDAĞ</v>
          </cell>
          <cell r="D2985" t="str">
            <v>MARMARAEREĞLİSİ</v>
          </cell>
          <cell r="H2985" t="str">
            <v>Dağıtım-AG</v>
          </cell>
          <cell r="I2985" t="str">
            <v>Uzun</v>
          </cell>
          <cell r="J2985" t="str">
            <v>Şebeke işletmecisi</v>
          </cell>
          <cell r="K2985" t="str">
            <v>Bildirimsiz</v>
          </cell>
          <cell r="O2985">
            <v>0</v>
          </cell>
          <cell r="P2985">
            <v>0</v>
          </cell>
          <cell r="Q2985">
            <v>0</v>
          </cell>
          <cell r="R2985">
            <v>2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19.300000006332994</v>
          </cell>
          <cell r="Y2985">
            <v>0</v>
          </cell>
          <cell r="Z2985">
            <v>0</v>
          </cell>
        </row>
        <row r="2986">
          <cell r="C2986" t="str">
            <v>TEKİRDAĞ</v>
          </cell>
          <cell r="D2986" t="str">
            <v>MARMARAEREĞLİSİ</v>
          </cell>
          <cell r="H2986" t="str">
            <v>Dağıtım-AG</v>
          </cell>
          <cell r="I2986" t="str">
            <v>Uzun</v>
          </cell>
          <cell r="J2986" t="str">
            <v>Şebeke işletmecisi</v>
          </cell>
          <cell r="K2986" t="str">
            <v>Bildirimsiz</v>
          </cell>
          <cell r="O2986">
            <v>0</v>
          </cell>
          <cell r="P2986">
            <v>0</v>
          </cell>
          <cell r="Q2986">
            <v>0</v>
          </cell>
          <cell r="R2986">
            <v>5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48.249999963445589</v>
          </cell>
          <cell r="Y2986">
            <v>0</v>
          </cell>
          <cell r="Z2986">
            <v>0</v>
          </cell>
        </row>
        <row r="2987">
          <cell r="C2987" t="str">
            <v>EDİRNE</v>
          </cell>
          <cell r="D2987" t="str">
            <v>MERİÇ</v>
          </cell>
          <cell r="H2987" t="str">
            <v>Dağıtım-AG</v>
          </cell>
          <cell r="I2987" t="str">
            <v>Uzun</v>
          </cell>
          <cell r="J2987" t="str">
            <v>Şebeke işletmecisi</v>
          </cell>
          <cell r="K2987" t="str">
            <v>Bildirimsiz</v>
          </cell>
          <cell r="O2987">
            <v>0</v>
          </cell>
          <cell r="P2987">
            <v>0</v>
          </cell>
          <cell r="Q2987">
            <v>0</v>
          </cell>
          <cell r="R2987">
            <v>54</v>
          </cell>
          <cell r="S2987">
            <v>0</v>
          </cell>
          <cell r="T2987">
            <v>3</v>
          </cell>
          <cell r="U2987">
            <v>0</v>
          </cell>
          <cell r="V2987">
            <v>0</v>
          </cell>
          <cell r="W2987">
            <v>0</v>
          </cell>
          <cell r="X2987">
            <v>521.09999960521236</v>
          </cell>
          <cell r="Y2987">
            <v>0</v>
          </cell>
          <cell r="Z2987">
            <v>28.949999978067353</v>
          </cell>
        </row>
        <row r="2988">
          <cell r="C2988" t="str">
            <v>KIRKLARELİ</v>
          </cell>
          <cell r="D2988" t="str">
            <v>PINARHİSAR</v>
          </cell>
          <cell r="H2988" t="str">
            <v>Dağıtım-OG</v>
          </cell>
          <cell r="I2988" t="str">
            <v>Uzun</v>
          </cell>
          <cell r="J2988" t="str">
            <v>Şebeke İşletmecisi</v>
          </cell>
          <cell r="K2988" t="str">
            <v>Bildirimsiz</v>
          </cell>
          <cell r="O2988">
            <v>0</v>
          </cell>
          <cell r="P2988">
            <v>0</v>
          </cell>
          <cell r="Q2988">
            <v>6</v>
          </cell>
          <cell r="R2988">
            <v>0</v>
          </cell>
          <cell r="S2988">
            <v>15</v>
          </cell>
          <cell r="T2988">
            <v>1888</v>
          </cell>
          <cell r="U2988">
            <v>0</v>
          </cell>
          <cell r="V2988">
            <v>0</v>
          </cell>
          <cell r="W2988">
            <v>57.300000004470348</v>
          </cell>
          <cell r="X2988">
            <v>0</v>
          </cell>
          <cell r="Y2988">
            <v>143.25000001117587</v>
          </cell>
          <cell r="Z2988">
            <v>18030.40000140667</v>
          </cell>
        </row>
        <row r="2989">
          <cell r="C2989" t="str">
            <v>KIRKLARELİ</v>
          </cell>
          <cell r="D2989" t="str">
            <v>VİZE</v>
          </cell>
          <cell r="H2989" t="str">
            <v>Dağıtım-OG</v>
          </cell>
          <cell r="I2989" t="str">
            <v>Uzun</v>
          </cell>
          <cell r="J2989" t="str">
            <v>Şebeke işletmecisi</v>
          </cell>
          <cell r="K2989" t="str">
            <v>Bildirimsiz</v>
          </cell>
          <cell r="O2989">
            <v>0</v>
          </cell>
          <cell r="P2989">
            <v>0</v>
          </cell>
          <cell r="Q2989">
            <v>1</v>
          </cell>
          <cell r="R2989">
            <v>0</v>
          </cell>
          <cell r="S2989">
            <v>19</v>
          </cell>
          <cell r="T2989">
            <v>1323</v>
          </cell>
          <cell r="U2989">
            <v>0</v>
          </cell>
          <cell r="V2989">
            <v>0</v>
          </cell>
          <cell r="W2989">
            <v>9.5166666700970381</v>
          </cell>
          <cell r="X2989">
            <v>0</v>
          </cell>
          <cell r="Y2989">
            <v>180.81666673184372</v>
          </cell>
          <cell r="Z2989">
            <v>12590.550004538381</v>
          </cell>
        </row>
        <row r="2990">
          <cell r="C2990" t="str">
            <v>TEKİRDAĞ</v>
          </cell>
          <cell r="D2990" t="str">
            <v>SARAY</v>
          </cell>
          <cell r="H2990" t="str">
            <v>Dağıtım-AG</v>
          </cell>
          <cell r="I2990" t="str">
            <v>Uzun</v>
          </cell>
          <cell r="J2990" t="str">
            <v>Şebeke işletmecisi</v>
          </cell>
          <cell r="K2990" t="str">
            <v>Bildirimsiz</v>
          </cell>
          <cell r="O2990">
            <v>0</v>
          </cell>
          <cell r="P2990">
            <v>0</v>
          </cell>
          <cell r="Q2990">
            <v>0</v>
          </cell>
          <cell r="R2990">
            <v>3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28.499999998603016</v>
          </cell>
          <cell r="Y2990">
            <v>0</v>
          </cell>
          <cell r="Z2990">
            <v>0</v>
          </cell>
        </row>
        <row r="2991">
          <cell r="C2991" t="str">
            <v>KIRKLARELİ</v>
          </cell>
          <cell r="D2991" t="str">
            <v>VİZE</v>
          </cell>
          <cell r="H2991" t="str">
            <v>Dağıtım-OG</v>
          </cell>
          <cell r="I2991" t="str">
            <v>Uzun</v>
          </cell>
          <cell r="J2991" t="str">
            <v>Şebeke İşletmecisi</v>
          </cell>
          <cell r="K2991" t="str">
            <v>Bildirimsiz</v>
          </cell>
          <cell r="O2991">
            <v>0</v>
          </cell>
          <cell r="P2991">
            <v>12</v>
          </cell>
          <cell r="Q2991">
            <v>1</v>
          </cell>
          <cell r="R2991">
            <v>0</v>
          </cell>
          <cell r="S2991">
            <v>5</v>
          </cell>
          <cell r="T2991">
            <v>690</v>
          </cell>
          <cell r="U2991">
            <v>0</v>
          </cell>
          <cell r="V2991">
            <v>113.79999994765967</v>
          </cell>
          <cell r="W2991">
            <v>9.4833333289716393</v>
          </cell>
          <cell r="X2991">
            <v>0</v>
          </cell>
          <cell r="Y2991">
            <v>47.416666644858196</v>
          </cell>
          <cell r="Z2991">
            <v>6543.4999969904311</v>
          </cell>
        </row>
        <row r="2992">
          <cell r="C2992" t="str">
            <v>KIRKLARELİ</v>
          </cell>
          <cell r="D2992" t="str">
            <v>VİZE</v>
          </cell>
          <cell r="H2992" t="str">
            <v>Dağıtım-AG</v>
          </cell>
          <cell r="I2992" t="str">
            <v>Uzun</v>
          </cell>
          <cell r="J2992" t="str">
            <v>Şebeke işletmecisi</v>
          </cell>
          <cell r="K2992" t="str">
            <v>Bildirimsiz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24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227.19999980181456</v>
          </cell>
        </row>
        <row r="2993">
          <cell r="C2993" t="str">
            <v>EDİRNE</v>
          </cell>
          <cell r="D2993" t="str">
            <v>LALAPAŞA</v>
          </cell>
          <cell r="H2993" t="str">
            <v>Dağıtım-OG</v>
          </cell>
          <cell r="I2993" t="str">
            <v>Uzun</v>
          </cell>
          <cell r="J2993" t="str">
            <v>Şebeke İşletmecisi</v>
          </cell>
          <cell r="K2993" t="str">
            <v>Bildirimsiz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8</v>
          </cell>
          <cell r="T2993">
            <v>99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75.066666696220636</v>
          </cell>
          <cell r="Z2993">
            <v>928.95000036573038</v>
          </cell>
        </row>
        <row r="2994">
          <cell r="C2994" t="str">
            <v>TEKİRDAĞ</v>
          </cell>
          <cell r="D2994" t="str">
            <v>ŞARKÖY</v>
          </cell>
          <cell r="H2994" t="str">
            <v>Dağıtım-OG</v>
          </cell>
          <cell r="I2994" t="str">
            <v>Uzun</v>
          </cell>
          <cell r="J2994" t="str">
            <v>Şebeke İşletmecisi</v>
          </cell>
          <cell r="K2994" t="str">
            <v>Bildirimsiz</v>
          </cell>
          <cell r="O2994">
            <v>2</v>
          </cell>
          <cell r="P2994">
            <v>0</v>
          </cell>
          <cell r="Q2994">
            <v>0</v>
          </cell>
          <cell r="R2994">
            <v>0</v>
          </cell>
          <cell r="S2994">
            <v>1</v>
          </cell>
          <cell r="T2994">
            <v>64</v>
          </cell>
          <cell r="U2994">
            <v>18.66666667163372</v>
          </cell>
          <cell r="V2994">
            <v>0</v>
          </cell>
          <cell r="W2994">
            <v>0</v>
          </cell>
          <cell r="X2994">
            <v>0</v>
          </cell>
          <cell r="Y2994">
            <v>9.3333333358168602</v>
          </cell>
          <cell r="Z2994">
            <v>597.33333349227905</v>
          </cell>
        </row>
        <row r="2995">
          <cell r="C2995" t="str">
            <v>KIRKLARELİ</v>
          </cell>
          <cell r="D2995" t="str">
            <v>KIRKLARELİMERKEZ</v>
          </cell>
          <cell r="H2995" t="str">
            <v>Dağıtım-OG</v>
          </cell>
          <cell r="I2995" t="str">
            <v>Uzun</v>
          </cell>
          <cell r="J2995" t="str">
            <v>Şebeke İşletmecisi</v>
          </cell>
          <cell r="K2995" t="str">
            <v>Bildirimsiz</v>
          </cell>
          <cell r="O2995">
            <v>13</v>
          </cell>
          <cell r="P2995">
            <v>39</v>
          </cell>
          <cell r="Q2995">
            <v>14</v>
          </cell>
          <cell r="R2995">
            <v>388</v>
          </cell>
          <cell r="S2995">
            <v>87</v>
          </cell>
          <cell r="T2995">
            <v>2665</v>
          </cell>
          <cell r="U2995">
            <v>120.899999930989</v>
          </cell>
          <cell r="V2995">
            <v>362.69999979296699</v>
          </cell>
          <cell r="W2995">
            <v>130.19999992568046</v>
          </cell>
          <cell r="X2995">
            <v>3608.399997940287</v>
          </cell>
          <cell r="Y2995">
            <v>809.09999953815714</v>
          </cell>
          <cell r="Z2995">
            <v>24784.499985852744</v>
          </cell>
        </row>
        <row r="2996">
          <cell r="C2996" t="str">
            <v>TEKİRDAĞ</v>
          </cell>
          <cell r="D2996" t="str">
            <v>MARMARAEREĞLİSİ</v>
          </cell>
          <cell r="H2996" t="str">
            <v>Dağıtım-AG</v>
          </cell>
          <cell r="I2996" t="str">
            <v>Uzun</v>
          </cell>
          <cell r="J2996" t="str">
            <v>Şebeke işletmecisi</v>
          </cell>
          <cell r="K2996" t="str">
            <v>Bildirimsiz</v>
          </cell>
          <cell r="O2996">
            <v>0</v>
          </cell>
          <cell r="P2996">
            <v>124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  <cell r="U2996">
            <v>0</v>
          </cell>
          <cell r="V2996">
            <v>1149.0666676405817</v>
          </cell>
          <cell r="W2996">
            <v>0</v>
          </cell>
          <cell r="X2996">
            <v>0</v>
          </cell>
          <cell r="Y2996">
            <v>0</v>
          </cell>
          <cell r="Z2996">
            <v>0</v>
          </cell>
        </row>
        <row r="2997">
          <cell r="C2997" t="str">
            <v>TEKİRDAĞ</v>
          </cell>
          <cell r="D2997" t="str">
            <v>SÜLEYMANPAŞA</v>
          </cell>
          <cell r="H2997" t="str">
            <v>Dağıtım-AG</v>
          </cell>
          <cell r="I2997" t="str">
            <v>Uzun</v>
          </cell>
          <cell r="J2997" t="str">
            <v>Şebeke işletmecisi</v>
          </cell>
          <cell r="K2997" t="str">
            <v>Bildirimsiz</v>
          </cell>
          <cell r="O2997">
            <v>0</v>
          </cell>
          <cell r="P2997">
            <v>137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1267.2500005422626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</row>
        <row r="2998">
          <cell r="C2998" t="str">
            <v>TEKİRDAĞ</v>
          </cell>
          <cell r="D2998" t="str">
            <v>HAYRABOLU</v>
          </cell>
          <cell r="H2998" t="str">
            <v>Dağıtım-OG</v>
          </cell>
          <cell r="I2998" t="str">
            <v>Uzun</v>
          </cell>
          <cell r="J2998" t="str">
            <v>Şebeke İşletmecisi</v>
          </cell>
          <cell r="K2998" t="str">
            <v>Bildirimsiz</v>
          </cell>
          <cell r="O2998">
            <v>0</v>
          </cell>
          <cell r="P2998">
            <v>2</v>
          </cell>
          <cell r="Q2998">
            <v>0</v>
          </cell>
          <cell r="R2998">
            <v>1</v>
          </cell>
          <cell r="S2998">
            <v>8</v>
          </cell>
          <cell r="T2998">
            <v>958</v>
          </cell>
          <cell r="U2998">
            <v>0</v>
          </cell>
          <cell r="V2998">
            <v>18.433333325665444</v>
          </cell>
          <cell r="W2998">
            <v>0</v>
          </cell>
          <cell r="X2998">
            <v>9.2166666628327221</v>
          </cell>
          <cell r="Y2998">
            <v>73.733333302661777</v>
          </cell>
          <cell r="Z2998">
            <v>8829.5666629937477</v>
          </cell>
        </row>
        <row r="2999">
          <cell r="C2999" t="str">
            <v>TEKİRDAĞ</v>
          </cell>
          <cell r="D2999" t="str">
            <v>SÜLEYMANPAŞA</v>
          </cell>
          <cell r="H2999" t="str">
            <v>Dağıtım-OG</v>
          </cell>
          <cell r="I2999" t="str">
            <v>Uzun</v>
          </cell>
          <cell r="J2999" t="str">
            <v>Şebeke İşletmecisi</v>
          </cell>
          <cell r="K2999" t="str">
            <v>Bildirimsiz</v>
          </cell>
          <cell r="O2999">
            <v>14</v>
          </cell>
          <cell r="P2999">
            <v>3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128.80000003846362</v>
          </cell>
          <cell r="V2999">
            <v>27.600000008242205</v>
          </cell>
          <cell r="W2999">
            <v>0</v>
          </cell>
          <cell r="X2999">
            <v>0</v>
          </cell>
          <cell r="Y2999">
            <v>0</v>
          </cell>
          <cell r="Z2999">
            <v>0</v>
          </cell>
        </row>
        <row r="3000">
          <cell r="C3000" t="str">
            <v>KIRKLARELİ</v>
          </cell>
          <cell r="D3000" t="str">
            <v>KIRKLARELİMERKEZ</v>
          </cell>
          <cell r="H3000" t="str">
            <v>Dağıtım-AG</v>
          </cell>
          <cell r="I3000" t="str">
            <v>Uzun</v>
          </cell>
          <cell r="J3000" t="str">
            <v>Şebeke işletmecisi</v>
          </cell>
          <cell r="K3000" t="str">
            <v>Bildirimsiz</v>
          </cell>
          <cell r="O3000">
            <v>0</v>
          </cell>
          <cell r="P3000">
            <v>10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>
            <v>0</v>
          </cell>
          <cell r="V3000">
            <v>92.000000027474016</v>
          </cell>
          <cell r="W3000">
            <v>0</v>
          </cell>
          <cell r="X3000">
            <v>0</v>
          </cell>
          <cell r="Y3000">
            <v>0</v>
          </cell>
          <cell r="Z3000">
            <v>0</v>
          </cell>
        </row>
        <row r="3001">
          <cell r="C3001" t="str">
            <v>TEKİRDAĞ</v>
          </cell>
          <cell r="D3001" t="str">
            <v>MURATLI</v>
          </cell>
          <cell r="H3001" t="str">
            <v>Dağıtım-AG</v>
          </cell>
          <cell r="I3001" t="str">
            <v>Uzun</v>
          </cell>
          <cell r="J3001" t="str">
            <v>Şebeke işletmecisi</v>
          </cell>
          <cell r="K3001" t="str">
            <v>Bildirimsiz</v>
          </cell>
          <cell r="O3001">
            <v>0</v>
          </cell>
          <cell r="P3001">
            <v>29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265.35000004456379</v>
          </cell>
          <cell r="W3001">
            <v>0</v>
          </cell>
          <cell r="X3001">
            <v>0</v>
          </cell>
          <cell r="Y3001">
            <v>0</v>
          </cell>
          <cell r="Z3001">
            <v>0</v>
          </cell>
        </row>
        <row r="3002">
          <cell r="C3002" t="str">
            <v>TEKİRDAĞ</v>
          </cell>
          <cell r="D3002" t="str">
            <v>KAPAKLI</v>
          </cell>
          <cell r="H3002" t="str">
            <v>Dağıtım-OG</v>
          </cell>
          <cell r="I3002" t="str">
            <v>Uzun</v>
          </cell>
          <cell r="J3002" t="str">
            <v>Şebeke İşletmecisi</v>
          </cell>
          <cell r="K3002" t="str">
            <v>Bildirimsiz</v>
          </cell>
          <cell r="O3002">
            <v>7</v>
          </cell>
          <cell r="P3002">
            <v>308</v>
          </cell>
          <cell r="Q3002">
            <v>0</v>
          </cell>
          <cell r="R3002">
            <v>0</v>
          </cell>
          <cell r="S3002">
            <v>2</v>
          </cell>
          <cell r="T3002">
            <v>317</v>
          </cell>
          <cell r="U3002">
            <v>63.816666622878984</v>
          </cell>
          <cell r="V3002">
            <v>2807.9333314066753</v>
          </cell>
          <cell r="W3002">
            <v>0</v>
          </cell>
          <cell r="X3002">
            <v>0</v>
          </cell>
          <cell r="Y3002">
            <v>18.233333320822567</v>
          </cell>
          <cell r="Z3002">
            <v>2889.9833313503768</v>
          </cell>
        </row>
        <row r="3003">
          <cell r="C3003" t="str">
            <v>TEKİRDAĞ</v>
          </cell>
          <cell r="D3003" t="str">
            <v>SÜLEYMANPAŞA</v>
          </cell>
          <cell r="H3003" t="str">
            <v>Dağıtım-AG</v>
          </cell>
          <cell r="I3003" t="str">
            <v>Uzun</v>
          </cell>
          <cell r="J3003" t="str">
            <v>Şebeke işletmecisi</v>
          </cell>
          <cell r="K3003" t="str">
            <v>Bildirimsiz</v>
          </cell>
          <cell r="O3003">
            <v>0</v>
          </cell>
          <cell r="P3003">
            <v>5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45.416666701203212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</row>
        <row r="3004">
          <cell r="C3004" t="str">
            <v>EDİRNE</v>
          </cell>
          <cell r="D3004" t="str">
            <v>UZUNKÖPRÜ</v>
          </cell>
          <cell r="H3004" t="str">
            <v>Dağıtım-OG</v>
          </cell>
          <cell r="I3004" t="str">
            <v>Uzun</v>
          </cell>
          <cell r="J3004" t="str">
            <v>Şebeke İşletmecisi</v>
          </cell>
          <cell r="K3004" t="str">
            <v>Bildirimsiz</v>
          </cell>
          <cell r="O3004">
            <v>1</v>
          </cell>
          <cell r="P3004">
            <v>0</v>
          </cell>
          <cell r="Q3004">
            <v>0</v>
          </cell>
          <cell r="R3004">
            <v>0</v>
          </cell>
          <cell r="S3004">
            <v>3</v>
          </cell>
          <cell r="T3004">
            <v>0</v>
          </cell>
          <cell r="U3004">
            <v>9.0833333402406424</v>
          </cell>
          <cell r="V3004">
            <v>0</v>
          </cell>
          <cell r="W3004">
            <v>0</v>
          </cell>
          <cell r="X3004">
            <v>0</v>
          </cell>
          <cell r="Y3004">
            <v>27.250000020721927</v>
          </cell>
          <cell r="Z3004">
            <v>0</v>
          </cell>
        </row>
        <row r="3005">
          <cell r="C3005" t="str">
            <v>KIRKLARELİ</v>
          </cell>
          <cell r="D3005" t="str">
            <v>BABAESKİ</v>
          </cell>
          <cell r="H3005" t="str">
            <v>Dağıtım-AG</v>
          </cell>
          <cell r="I3005" t="str">
            <v>Uzun</v>
          </cell>
          <cell r="J3005" t="str">
            <v>Şebeke işletmecisi</v>
          </cell>
          <cell r="K3005" t="str">
            <v>Bildirimsiz</v>
          </cell>
          <cell r="O3005">
            <v>0</v>
          </cell>
          <cell r="P3005">
            <v>2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18.166666659526527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</row>
        <row r="3006">
          <cell r="C3006" t="str">
            <v>KIRKLARELİ</v>
          </cell>
          <cell r="D3006" t="str">
            <v>DEMİRKÖY</v>
          </cell>
          <cell r="H3006" t="str">
            <v>Dağıtım-OG</v>
          </cell>
          <cell r="I3006" t="str">
            <v>Uzun</v>
          </cell>
          <cell r="J3006" t="str">
            <v>Şebeke İşletmecisi</v>
          </cell>
          <cell r="K3006" t="str">
            <v>Bildirimsiz</v>
          </cell>
          <cell r="O3006">
            <v>0</v>
          </cell>
          <cell r="P3006">
            <v>0</v>
          </cell>
          <cell r="Q3006">
            <v>0</v>
          </cell>
          <cell r="R3006">
            <v>281</v>
          </cell>
          <cell r="S3006">
            <v>4</v>
          </cell>
          <cell r="T3006">
            <v>287</v>
          </cell>
          <cell r="U3006">
            <v>0</v>
          </cell>
          <cell r="V3006">
            <v>0</v>
          </cell>
          <cell r="W3006">
            <v>0</v>
          </cell>
          <cell r="X3006">
            <v>2543.0499997513834</v>
          </cell>
          <cell r="Y3006">
            <v>36.199999996460974</v>
          </cell>
          <cell r="Z3006">
            <v>2597.3499997460749</v>
          </cell>
        </row>
        <row r="3007">
          <cell r="C3007" t="str">
            <v>KIRKLARELİ</v>
          </cell>
          <cell r="D3007" t="str">
            <v>VİZE</v>
          </cell>
          <cell r="H3007" t="str">
            <v>Dağıtım-AG</v>
          </cell>
          <cell r="I3007" t="str">
            <v>Uzun</v>
          </cell>
          <cell r="J3007" t="str">
            <v>Şebeke işletmecisi</v>
          </cell>
          <cell r="K3007" t="str">
            <v>Bildirimsiz</v>
          </cell>
          <cell r="O3007">
            <v>0</v>
          </cell>
          <cell r="P3007">
            <v>0</v>
          </cell>
          <cell r="Q3007">
            <v>0</v>
          </cell>
          <cell r="R3007">
            <v>54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  <cell r="W3007">
            <v>0</v>
          </cell>
          <cell r="X3007">
            <v>486.90000009723008</v>
          </cell>
          <cell r="Y3007">
            <v>0</v>
          </cell>
          <cell r="Z3007">
            <v>0</v>
          </cell>
        </row>
        <row r="3008">
          <cell r="C3008" t="str">
            <v>TEKİRDAĞ</v>
          </cell>
          <cell r="D3008" t="str">
            <v>SÜLEYMANPAŞA</v>
          </cell>
          <cell r="H3008" t="str">
            <v>Dağıtım-OG</v>
          </cell>
          <cell r="I3008" t="str">
            <v>Uzun</v>
          </cell>
          <cell r="J3008" t="str">
            <v>Şebeke işletmecisi</v>
          </cell>
          <cell r="K3008" t="str">
            <v>Bildirimsiz</v>
          </cell>
          <cell r="O3008">
            <v>6</v>
          </cell>
          <cell r="P3008">
            <v>94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  <cell r="U3008">
            <v>54.100000010803342</v>
          </cell>
          <cell r="V3008">
            <v>847.56666683591902</v>
          </cell>
          <cell r="W3008">
            <v>0</v>
          </cell>
          <cell r="X3008">
            <v>0</v>
          </cell>
          <cell r="Y3008">
            <v>0</v>
          </cell>
          <cell r="Z3008">
            <v>0</v>
          </cell>
        </row>
        <row r="3009">
          <cell r="C3009" t="str">
            <v>KIRKLARELİ</v>
          </cell>
          <cell r="D3009" t="str">
            <v>KIRKLARELİMERKEZ</v>
          </cell>
          <cell r="H3009" t="str">
            <v>Dağıtım-AG</v>
          </cell>
          <cell r="I3009" t="str">
            <v>Uzun</v>
          </cell>
          <cell r="J3009" t="str">
            <v>Şebeke işletmecisi</v>
          </cell>
          <cell r="K3009" t="str">
            <v>Bildirimsiz</v>
          </cell>
          <cell r="O3009">
            <v>0</v>
          </cell>
          <cell r="P3009">
            <v>16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  <cell r="U3009">
            <v>0</v>
          </cell>
          <cell r="V3009">
            <v>144.26666669547558</v>
          </cell>
          <cell r="W3009">
            <v>0</v>
          </cell>
          <cell r="X3009">
            <v>0</v>
          </cell>
          <cell r="Y3009">
            <v>0</v>
          </cell>
          <cell r="Z3009">
            <v>0</v>
          </cell>
        </row>
        <row r="3010">
          <cell r="C3010" t="str">
            <v>KIRKLARELİ</v>
          </cell>
          <cell r="D3010" t="str">
            <v>PINARHİSAR</v>
          </cell>
          <cell r="H3010" t="str">
            <v>Dağıtım-OG</v>
          </cell>
          <cell r="I3010" t="str">
            <v>Uzun</v>
          </cell>
          <cell r="J3010" t="str">
            <v>Şebeke işletmecisi</v>
          </cell>
          <cell r="K3010" t="str">
            <v>Bildirimsiz</v>
          </cell>
          <cell r="O3010">
            <v>0</v>
          </cell>
          <cell r="P3010">
            <v>0</v>
          </cell>
          <cell r="Q3010">
            <v>6</v>
          </cell>
          <cell r="R3010">
            <v>0</v>
          </cell>
          <cell r="S3010">
            <v>13</v>
          </cell>
          <cell r="T3010">
            <v>1888</v>
          </cell>
          <cell r="U3010">
            <v>0</v>
          </cell>
          <cell r="V3010">
            <v>0</v>
          </cell>
          <cell r="W3010">
            <v>54.000000050291419</v>
          </cell>
          <cell r="X3010">
            <v>0</v>
          </cell>
          <cell r="Y3010">
            <v>117.00000010896474</v>
          </cell>
          <cell r="Z3010">
            <v>16992.000015825033</v>
          </cell>
        </row>
        <row r="3011">
          <cell r="C3011" t="str">
            <v>EDİRNE</v>
          </cell>
          <cell r="D3011" t="str">
            <v>UZUNKÖPRÜ</v>
          </cell>
          <cell r="H3011" t="str">
            <v>Dağıtım-OG</v>
          </cell>
          <cell r="I3011" t="str">
            <v>Uzun</v>
          </cell>
          <cell r="J3011" t="str">
            <v>Şebeke İşletmecisi</v>
          </cell>
          <cell r="K3011" t="str">
            <v>Bildirimsiz</v>
          </cell>
          <cell r="O3011">
            <v>4</v>
          </cell>
          <cell r="P3011">
            <v>1</v>
          </cell>
          <cell r="Q3011">
            <v>1</v>
          </cell>
          <cell r="R3011">
            <v>0</v>
          </cell>
          <cell r="S3011">
            <v>0</v>
          </cell>
          <cell r="T3011">
            <v>0</v>
          </cell>
          <cell r="U3011">
            <v>36.000000033527613</v>
          </cell>
          <cell r="V3011">
            <v>9.0000000083819032</v>
          </cell>
          <cell r="W3011">
            <v>9.0000000083819032</v>
          </cell>
          <cell r="X3011">
            <v>0</v>
          </cell>
          <cell r="Y3011">
            <v>0</v>
          </cell>
          <cell r="Z3011">
            <v>0</v>
          </cell>
        </row>
        <row r="3012">
          <cell r="C3012" t="str">
            <v>EDİRNE</v>
          </cell>
          <cell r="D3012" t="str">
            <v>EDİRNEMERKEZ</v>
          </cell>
          <cell r="H3012" t="str">
            <v>Dağıtım-AG</v>
          </cell>
          <cell r="I3012" t="str">
            <v>Uzun</v>
          </cell>
          <cell r="J3012" t="str">
            <v>Şebeke işletmecisi</v>
          </cell>
          <cell r="K3012" t="str">
            <v>Bildirimsiz</v>
          </cell>
          <cell r="O3012">
            <v>0</v>
          </cell>
          <cell r="P3012">
            <v>106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>
            <v>0</v>
          </cell>
          <cell r="V3012">
            <v>954.00000088848174</v>
          </cell>
          <cell r="W3012">
            <v>0</v>
          </cell>
          <cell r="X3012">
            <v>0</v>
          </cell>
          <cell r="Y3012">
            <v>0</v>
          </cell>
          <cell r="Z3012">
            <v>0</v>
          </cell>
        </row>
        <row r="3013">
          <cell r="C3013" t="str">
            <v>EDİRNE</v>
          </cell>
          <cell r="D3013" t="str">
            <v>EDİRNEMERKEZ</v>
          </cell>
          <cell r="H3013" t="str">
            <v>Dağıtım-AG</v>
          </cell>
          <cell r="I3013" t="str">
            <v>Uzun</v>
          </cell>
          <cell r="J3013" t="str">
            <v>Şebeke işletmecisi</v>
          </cell>
          <cell r="K3013" t="str">
            <v>Bildirimsiz</v>
          </cell>
          <cell r="O3013">
            <v>0</v>
          </cell>
          <cell r="P3013">
            <v>181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  <cell r="U3013">
            <v>0</v>
          </cell>
          <cell r="V3013">
            <v>1628.9999996207189</v>
          </cell>
          <cell r="W3013">
            <v>0</v>
          </cell>
          <cell r="X3013">
            <v>0</v>
          </cell>
          <cell r="Y3013">
            <v>0</v>
          </cell>
          <cell r="Z3013">
            <v>0</v>
          </cell>
        </row>
        <row r="3014">
          <cell r="C3014" t="str">
            <v>EDİRNE</v>
          </cell>
          <cell r="D3014" t="str">
            <v>EDİRNEMERKEZ</v>
          </cell>
          <cell r="H3014" t="str">
            <v>Dağıtım-OG</v>
          </cell>
          <cell r="I3014" t="str">
            <v>Uzun</v>
          </cell>
          <cell r="J3014" t="str">
            <v>Şebeke işletmecisi</v>
          </cell>
          <cell r="K3014" t="str">
            <v>Bildirimsiz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3</v>
          </cell>
          <cell r="T3014">
            <v>0</v>
          </cell>
          <cell r="U3014">
            <v>0</v>
          </cell>
          <cell r="V3014">
            <v>0</v>
          </cell>
          <cell r="W3014">
            <v>0</v>
          </cell>
          <cell r="X3014">
            <v>0</v>
          </cell>
          <cell r="Y3014">
            <v>26.999999993713573</v>
          </cell>
          <cell r="Z3014">
            <v>0</v>
          </cell>
        </row>
        <row r="3015">
          <cell r="C3015" t="str">
            <v>EDİRNE</v>
          </cell>
          <cell r="D3015" t="str">
            <v>EDİRNEMERKEZ</v>
          </cell>
          <cell r="H3015" t="str">
            <v>Dağıtım-AG</v>
          </cell>
          <cell r="I3015" t="str">
            <v>Uzun</v>
          </cell>
          <cell r="J3015" t="str">
            <v>Şebeke işletmecisi</v>
          </cell>
          <cell r="K3015" t="str">
            <v>Bildirimsiz</v>
          </cell>
          <cell r="O3015">
            <v>0</v>
          </cell>
          <cell r="P3015">
            <v>48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>
            <v>0</v>
          </cell>
          <cell r="V3015">
            <v>431.99999989941716</v>
          </cell>
          <cell r="W3015">
            <v>0</v>
          </cell>
          <cell r="X3015">
            <v>0</v>
          </cell>
          <cell r="Y3015">
            <v>0</v>
          </cell>
          <cell r="Z3015">
            <v>0</v>
          </cell>
        </row>
        <row r="3016">
          <cell r="C3016" t="str">
            <v>EDİRNE</v>
          </cell>
          <cell r="D3016" t="str">
            <v>UZUNKÖPRÜ</v>
          </cell>
          <cell r="H3016" t="str">
            <v>Dağıtım-OG</v>
          </cell>
          <cell r="I3016" t="str">
            <v>Uzun</v>
          </cell>
          <cell r="J3016" t="str">
            <v>Şebeke işletmecisi</v>
          </cell>
          <cell r="K3016" t="str">
            <v>Bildirimsiz</v>
          </cell>
          <cell r="O3016">
            <v>7</v>
          </cell>
          <cell r="P3016">
            <v>0</v>
          </cell>
          <cell r="Q3016">
            <v>0</v>
          </cell>
          <cell r="R3016">
            <v>0</v>
          </cell>
          <cell r="S3016">
            <v>14</v>
          </cell>
          <cell r="T3016">
            <v>284</v>
          </cell>
          <cell r="U3016">
            <v>62.883333364734426</v>
          </cell>
          <cell r="V3016">
            <v>0</v>
          </cell>
          <cell r="W3016">
            <v>0</v>
          </cell>
          <cell r="X3016">
            <v>0</v>
          </cell>
          <cell r="Y3016">
            <v>125.76666672946885</v>
          </cell>
          <cell r="Z3016">
            <v>2551.2666679406539</v>
          </cell>
        </row>
        <row r="3017">
          <cell r="C3017" t="str">
            <v>TEKİRDAĞ</v>
          </cell>
          <cell r="D3017" t="str">
            <v>MARMARAEREĞLİSİ</v>
          </cell>
          <cell r="H3017" t="str">
            <v>Dağıtım-AG</v>
          </cell>
          <cell r="I3017" t="str">
            <v>Uzun</v>
          </cell>
          <cell r="J3017" t="str">
            <v>Şebeke işletmecisi</v>
          </cell>
          <cell r="K3017" t="str">
            <v>Bildirimsiz</v>
          </cell>
          <cell r="O3017">
            <v>0</v>
          </cell>
          <cell r="P3017">
            <v>0</v>
          </cell>
          <cell r="Q3017">
            <v>0</v>
          </cell>
          <cell r="R3017">
            <v>72</v>
          </cell>
          <cell r="S3017">
            <v>0</v>
          </cell>
          <cell r="T3017">
            <v>0</v>
          </cell>
          <cell r="U3017">
            <v>0</v>
          </cell>
          <cell r="V3017">
            <v>0</v>
          </cell>
          <cell r="W3017">
            <v>0</v>
          </cell>
          <cell r="X3017">
            <v>646.79999956861138</v>
          </cell>
          <cell r="Y3017">
            <v>0</v>
          </cell>
          <cell r="Z3017">
            <v>0</v>
          </cell>
        </row>
        <row r="3018">
          <cell r="C3018" t="str">
            <v>TEKİRDAĞ</v>
          </cell>
          <cell r="D3018" t="str">
            <v>MARMARAEREĞLİSİ</v>
          </cell>
          <cell r="H3018" t="str">
            <v>Dağıtım-AG</v>
          </cell>
          <cell r="I3018" t="str">
            <v>Uzun</v>
          </cell>
          <cell r="J3018" t="str">
            <v>Şebeke işletmecisi</v>
          </cell>
          <cell r="K3018" t="str">
            <v>Bildirimsiz</v>
          </cell>
          <cell r="O3018">
            <v>0</v>
          </cell>
          <cell r="P3018">
            <v>19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  <cell r="U3018">
            <v>0</v>
          </cell>
          <cell r="V3018">
            <v>169.41666665486991</v>
          </cell>
          <cell r="W3018">
            <v>0</v>
          </cell>
          <cell r="X3018">
            <v>0</v>
          </cell>
          <cell r="Y3018">
            <v>0</v>
          </cell>
          <cell r="Z3018">
            <v>0</v>
          </cell>
        </row>
        <row r="3019">
          <cell r="C3019" t="str">
            <v>KIRKLARELİ</v>
          </cell>
          <cell r="D3019" t="str">
            <v>KIRKLARELİMERKEZ</v>
          </cell>
          <cell r="H3019" t="str">
            <v>Dağıtım-OG</v>
          </cell>
          <cell r="I3019" t="str">
            <v>Uzun</v>
          </cell>
          <cell r="J3019" t="str">
            <v>Şebeke İşletmecisi</v>
          </cell>
          <cell r="K3019" t="str">
            <v>Bildirimsiz</v>
          </cell>
          <cell r="O3019">
            <v>13</v>
          </cell>
          <cell r="P3019">
            <v>39</v>
          </cell>
          <cell r="Q3019">
            <v>14</v>
          </cell>
          <cell r="R3019">
            <v>388</v>
          </cell>
          <cell r="S3019">
            <v>87</v>
          </cell>
          <cell r="T3019">
            <v>2665</v>
          </cell>
          <cell r="U3019">
            <v>115.9166666585952</v>
          </cell>
          <cell r="V3019">
            <v>347.74999997578561</v>
          </cell>
          <cell r="W3019">
            <v>124.83333332464099</v>
          </cell>
          <cell r="X3019">
            <v>3459.6666664257646</v>
          </cell>
          <cell r="Y3019">
            <v>775.74999994598329</v>
          </cell>
          <cell r="Z3019">
            <v>23762.916665012017</v>
          </cell>
        </row>
        <row r="3020">
          <cell r="C3020" t="str">
            <v>TEKİRDAĞ</v>
          </cell>
          <cell r="D3020" t="str">
            <v>SÜLEYMANPAŞA</v>
          </cell>
          <cell r="H3020" t="str">
            <v>Dağıtım-AG</v>
          </cell>
          <cell r="I3020" t="str">
            <v>Uzun</v>
          </cell>
          <cell r="J3020" t="str">
            <v>Şebeke işletmecisi</v>
          </cell>
          <cell r="K3020" t="str">
            <v>Bildirimsiz</v>
          </cell>
          <cell r="O3020">
            <v>0</v>
          </cell>
          <cell r="P3020">
            <v>90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>
            <v>0</v>
          </cell>
          <cell r="V3020">
            <v>802.49999994412065</v>
          </cell>
          <cell r="W3020">
            <v>0</v>
          </cell>
          <cell r="X3020">
            <v>0</v>
          </cell>
          <cell r="Y3020">
            <v>0</v>
          </cell>
          <cell r="Z3020">
            <v>0</v>
          </cell>
        </row>
        <row r="3021">
          <cell r="C3021" t="str">
            <v>TEKİRDAĞ</v>
          </cell>
          <cell r="D3021" t="str">
            <v>ÇORLU</v>
          </cell>
          <cell r="H3021" t="str">
            <v>Dağıtım-AG</v>
          </cell>
          <cell r="I3021" t="str">
            <v>Uzun</v>
          </cell>
          <cell r="J3021" t="str">
            <v>Şebeke işletmecisi</v>
          </cell>
          <cell r="K3021" t="str">
            <v>Bildirimsiz</v>
          </cell>
          <cell r="O3021">
            <v>0</v>
          </cell>
          <cell r="P3021">
            <v>1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  <cell r="U3021">
            <v>0</v>
          </cell>
          <cell r="V3021">
            <v>8.8333333341870457</v>
          </cell>
          <cell r="W3021">
            <v>0</v>
          </cell>
          <cell r="X3021">
            <v>0</v>
          </cell>
          <cell r="Y3021">
            <v>0</v>
          </cell>
          <cell r="Z3021">
            <v>0</v>
          </cell>
        </row>
        <row r="3022">
          <cell r="C3022" t="str">
            <v>TEKİRDAĞ</v>
          </cell>
          <cell r="D3022" t="str">
            <v>MURATLI</v>
          </cell>
          <cell r="H3022" t="str">
            <v>Dağıtım-OG</v>
          </cell>
          <cell r="I3022" t="str">
            <v>Uzun</v>
          </cell>
          <cell r="J3022" t="str">
            <v>Şebeke işletmecisi</v>
          </cell>
          <cell r="K3022" t="str">
            <v>Bildirimsiz</v>
          </cell>
          <cell r="O3022">
            <v>7</v>
          </cell>
          <cell r="P3022">
            <v>742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>
            <v>61.483333330834284</v>
          </cell>
          <cell r="V3022">
            <v>6517.2333330684341</v>
          </cell>
          <cell r="W3022">
            <v>0</v>
          </cell>
          <cell r="X3022">
            <v>0</v>
          </cell>
          <cell r="Y3022">
            <v>0</v>
          </cell>
          <cell r="Z3022">
            <v>0</v>
          </cell>
        </row>
        <row r="3023">
          <cell r="C3023" t="str">
            <v>KIRKLARELİ</v>
          </cell>
          <cell r="D3023" t="str">
            <v>KIRKLARELİMERKEZ</v>
          </cell>
          <cell r="H3023" t="str">
            <v>Dağıtım-AG</v>
          </cell>
          <cell r="I3023" t="str">
            <v>Uzun</v>
          </cell>
          <cell r="J3023" t="str">
            <v>Şebeke işletmecisi</v>
          </cell>
          <cell r="K3023" t="str">
            <v>Bildirimsiz</v>
          </cell>
          <cell r="O3023">
            <v>0</v>
          </cell>
          <cell r="P3023">
            <v>82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  <cell r="U3023">
            <v>0</v>
          </cell>
          <cell r="V3023">
            <v>718.86666631791741</v>
          </cell>
          <cell r="W3023">
            <v>0</v>
          </cell>
          <cell r="X3023">
            <v>0</v>
          </cell>
          <cell r="Y3023">
            <v>0</v>
          </cell>
          <cell r="Z3023">
            <v>0</v>
          </cell>
        </row>
        <row r="3024">
          <cell r="C3024" t="str">
            <v>TEKİRDAĞ</v>
          </cell>
          <cell r="D3024" t="str">
            <v>SARAY</v>
          </cell>
          <cell r="H3024" t="str">
            <v>Dağıtım-AG</v>
          </cell>
          <cell r="I3024" t="str">
            <v>Uzun</v>
          </cell>
          <cell r="J3024" t="str">
            <v>Şebeke işletmecisi</v>
          </cell>
          <cell r="K3024" t="str">
            <v>Bildirimsiz</v>
          </cell>
          <cell r="O3024">
            <v>0</v>
          </cell>
          <cell r="P3024">
            <v>0</v>
          </cell>
          <cell r="Q3024">
            <v>0</v>
          </cell>
          <cell r="R3024">
            <v>12</v>
          </cell>
          <cell r="S3024">
            <v>0</v>
          </cell>
          <cell r="T3024">
            <v>0</v>
          </cell>
          <cell r="U3024">
            <v>0</v>
          </cell>
          <cell r="V3024">
            <v>0</v>
          </cell>
          <cell r="W3024">
            <v>0</v>
          </cell>
          <cell r="X3024">
            <v>104.40000001341105</v>
          </cell>
          <cell r="Y3024">
            <v>0</v>
          </cell>
          <cell r="Z3024">
            <v>0</v>
          </cell>
        </row>
        <row r="3025">
          <cell r="C3025" t="str">
            <v>EDİRNE</v>
          </cell>
          <cell r="D3025" t="str">
            <v>LALAPAŞA</v>
          </cell>
          <cell r="H3025" t="str">
            <v>Dağıtım-OG</v>
          </cell>
          <cell r="I3025" t="str">
            <v>Uzun</v>
          </cell>
          <cell r="J3025" t="str">
            <v>Şebeke İşletmecisi</v>
          </cell>
          <cell r="K3025" t="str">
            <v>Bildirimsiz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8</v>
          </cell>
          <cell r="T3025">
            <v>99</v>
          </cell>
          <cell r="U3025">
            <v>0</v>
          </cell>
          <cell r="V3025">
            <v>0</v>
          </cell>
          <cell r="W3025">
            <v>0</v>
          </cell>
          <cell r="X3025">
            <v>0</v>
          </cell>
          <cell r="Y3025">
            <v>69.600000008940697</v>
          </cell>
          <cell r="Z3025">
            <v>861.30000011064112</v>
          </cell>
        </row>
        <row r="3026">
          <cell r="C3026" t="str">
            <v>KIRKLARELİ</v>
          </cell>
          <cell r="D3026" t="str">
            <v>PINARHİSAR</v>
          </cell>
          <cell r="H3026" t="str">
            <v>Dağıtım-OG</v>
          </cell>
          <cell r="I3026" t="str">
            <v>Uzun</v>
          </cell>
          <cell r="J3026" t="str">
            <v>Şebeke İşletmecisi</v>
          </cell>
          <cell r="K3026" t="str">
            <v>Bildirimsiz</v>
          </cell>
          <cell r="O3026">
            <v>0</v>
          </cell>
          <cell r="P3026">
            <v>0</v>
          </cell>
          <cell r="Q3026">
            <v>0</v>
          </cell>
          <cell r="R3026">
            <v>1</v>
          </cell>
          <cell r="S3026">
            <v>0</v>
          </cell>
          <cell r="T3026">
            <v>392</v>
          </cell>
          <cell r="U3026">
            <v>0</v>
          </cell>
          <cell r="V3026">
            <v>0</v>
          </cell>
          <cell r="W3026">
            <v>0</v>
          </cell>
          <cell r="X3026">
            <v>8.7000000011175871</v>
          </cell>
          <cell r="Y3026">
            <v>0</v>
          </cell>
          <cell r="Z3026">
            <v>3410.4000004380941</v>
          </cell>
        </row>
        <row r="3027">
          <cell r="C3027" t="str">
            <v>TEKİRDAĞ</v>
          </cell>
          <cell r="D3027" t="str">
            <v>KAPAKLI</v>
          </cell>
          <cell r="H3027" t="str">
            <v>Dağıtım-OG</v>
          </cell>
          <cell r="I3027" t="str">
            <v>Uzun</v>
          </cell>
          <cell r="J3027" t="str">
            <v>Şebeke İşletmecisi</v>
          </cell>
          <cell r="K3027" t="str">
            <v>Bildirimsiz</v>
          </cell>
          <cell r="O3027">
            <v>2</v>
          </cell>
          <cell r="P3027">
            <v>2097</v>
          </cell>
          <cell r="Q3027">
            <v>0</v>
          </cell>
          <cell r="R3027">
            <v>1</v>
          </cell>
          <cell r="S3027">
            <v>0</v>
          </cell>
          <cell r="T3027">
            <v>0</v>
          </cell>
          <cell r="U3027">
            <v>17.366666661109775</v>
          </cell>
          <cell r="V3027">
            <v>18208.949994173599</v>
          </cell>
          <cell r="W3027">
            <v>0</v>
          </cell>
          <cell r="X3027">
            <v>8.6833333305548877</v>
          </cell>
          <cell r="Y3027">
            <v>0</v>
          </cell>
          <cell r="Z3027">
            <v>0</v>
          </cell>
        </row>
        <row r="3028">
          <cell r="C3028" t="str">
            <v>TEKİRDAĞ</v>
          </cell>
          <cell r="D3028" t="str">
            <v>SÜLEYMANPAŞA</v>
          </cell>
          <cell r="H3028" t="str">
            <v>Dağıtım-AG</v>
          </cell>
          <cell r="I3028" t="str">
            <v>Uzun</v>
          </cell>
          <cell r="J3028" t="str">
            <v>Şebeke işletmecisi</v>
          </cell>
          <cell r="K3028" t="str">
            <v>Bildirimsiz</v>
          </cell>
          <cell r="O3028">
            <v>0</v>
          </cell>
          <cell r="P3028">
            <v>10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  <cell r="U3028">
            <v>0</v>
          </cell>
          <cell r="V3028">
            <v>86.333333293441683</v>
          </cell>
          <cell r="W3028">
            <v>0</v>
          </cell>
          <cell r="X3028">
            <v>0</v>
          </cell>
          <cell r="Y3028">
            <v>0</v>
          </cell>
          <cell r="Z3028">
            <v>0</v>
          </cell>
        </row>
        <row r="3029">
          <cell r="C3029" t="str">
            <v>EDİRNE</v>
          </cell>
          <cell r="D3029" t="str">
            <v>EDİRNEMERKEZ</v>
          </cell>
          <cell r="H3029" t="str">
            <v>Dağıtım-AG</v>
          </cell>
          <cell r="I3029" t="str">
            <v>Uzun</v>
          </cell>
          <cell r="J3029" t="str">
            <v>Şebeke işletmecisi</v>
          </cell>
          <cell r="K3029" t="str">
            <v>Bildirimsiz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36</v>
          </cell>
          <cell r="U3029">
            <v>0</v>
          </cell>
          <cell r="V3029">
            <v>0</v>
          </cell>
          <cell r="W3029">
            <v>0</v>
          </cell>
          <cell r="X3029">
            <v>0</v>
          </cell>
          <cell r="Y3029">
            <v>0</v>
          </cell>
          <cell r="Z3029">
            <v>309.59999995306134</v>
          </cell>
        </row>
        <row r="3030">
          <cell r="C3030" t="str">
            <v>KIRKLARELİ</v>
          </cell>
          <cell r="D3030" t="str">
            <v>KIRKLARELİMERKEZ</v>
          </cell>
          <cell r="H3030" t="str">
            <v>Dağıtım-AG</v>
          </cell>
          <cell r="I3030" t="str">
            <v>Uzun</v>
          </cell>
          <cell r="J3030" t="str">
            <v>Şebeke işletmecisi</v>
          </cell>
          <cell r="K3030" t="str">
            <v>Bildirimsiz</v>
          </cell>
          <cell r="O3030">
            <v>0</v>
          </cell>
          <cell r="P3030">
            <v>63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  <cell r="U3030">
            <v>0</v>
          </cell>
          <cell r="V3030">
            <v>541.79999991785735</v>
          </cell>
          <cell r="W3030">
            <v>0</v>
          </cell>
          <cell r="X3030">
            <v>0</v>
          </cell>
          <cell r="Y3030">
            <v>0</v>
          </cell>
          <cell r="Z3030">
            <v>0</v>
          </cell>
        </row>
        <row r="3031">
          <cell r="C3031" t="str">
            <v>TEKİRDAĞ</v>
          </cell>
          <cell r="D3031" t="str">
            <v>SÜLEYMANPAŞA</v>
          </cell>
          <cell r="H3031" t="str">
            <v>Dağıtım-OG</v>
          </cell>
          <cell r="I3031" t="str">
            <v>Uzun</v>
          </cell>
          <cell r="J3031" t="str">
            <v>Şebeke işletmecisi</v>
          </cell>
          <cell r="K3031" t="str">
            <v>Bildirimsiz</v>
          </cell>
          <cell r="O3031">
            <v>6</v>
          </cell>
          <cell r="P3031">
            <v>94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  <cell r="U3031">
            <v>51.500000031664968</v>
          </cell>
          <cell r="V3031">
            <v>806.83333382941782</v>
          </cell>
          <cell r="W3031">
            <v>0</v>
          </cell>
          <cell r="X3031">
            <v>0</v>
          </cell>
          <cell r="Y3031">
            <v>0</v>
          </cell>
          <cell r="Z3031">
            <v>0</v>
          </cell>
        </row>
        <row r="3032">
          <cell r="C3032" t="str">
            <v>KIRKLARELİ</v>
          </cell>
          <cell r="D3032" t="str">
            <v>BABAESKİ</v>
          </cell>
          <cell r="H3032" t="str">
            <v>Dağıtım-AG</v>
          </cell>
          <cell r="I3032" t="str">
            <v>Uzun</v>
          </cell>
          <cell r="J3032" t="str">
            <v>Şebeke işletmecisi</v>
          </cell>
          <cell r="K3032" t="str">
            <v>Bildirimsiz</v>
          </cell>
          <cell r="O3032">
            <v>0</v>
          </cell>
          <cell r="P3032">
            <v>5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>
            <v>0</v>
          </cell>
          <cell r="V3032">
            <v>42.833333340240642</v>
          </cell>
          <cell r="W3032">
            <v>0</v>
          </cell>
          <cell r="X3032">
            <v>0</v>
          </cell>
          <cell r="Y3032">
            <v>0</v>
          </cell>
          <cell r="Z3032">
            <v>0</v>
          </cell>
        </row>
        <row r="3033">
          <cell r="C3033" t="str">
            <v>EDİRNE</v>
          </cell>
          <cell r="D3033" t="str">
            <v>EDİRNEMERKEZ</v>
          </cell>
          <cell r="H3033" t="str">
            <v>Dağıtım-OG</v>
          </cell>
          <cell r="I3033" t="str">
            <v>Uzun</v>
          </cell>
          <cell r="J3033" t="str">
            <v>Şebeke işletmecisi</v>
          </cell>
          <cell r="K3033" t="str">
            <v>Bildirimsiz</v>
          </cell>
          <cell r="O3033">
            <v>8</v>
          </cell>
          <cell r="P3033">
            <v>53</v>
          </cell>
          <cell r="Q3033">
            <v>0</v>
          </cell>
          <cell r="R3033">
            <v>0</v>
          </cell>
          <cell r="S3033">
            <v>5</v>
          </cell>
          <cell r="T3033">
            <v>0</v>
          </cell>
          <cell r="U3033">
            <v>68.399999979883432</v>
          </cell>
          <cell r="V3033">
            <v>453.14999986672774</v>
          </cell>
          <cell r="W3033">
            <v>0</v>
          </cell>
          <cell r="X3033">
            <v>0</v>
          </cell>
          <cell r="Y3033">
            <v>42.749999987427145</v>
          </cell>
          <cell r="Z3033">
            <v>0</v>
          </cell>
        </row>
        <row r="3034">
          <cell r="C3034" t="str">
            <v>TEKİRDAĞ</v>
          </cell>
          <cell r="D3034" t="str">
            <v>HAYRABOLU</v>
          </cell>
          <cell r="H3034" t="str">
            <v>Dağıtım-AG</v>
          </cell>
          <cell r="I3034" t="str">
            <v>Uzun</v>
          </cell>
          <cell r="J3034" t="str">
            <v>Şebeke işletmecisi</v>
          </cell>
          <cell r="K3034" t="str">
            <v>Bildirimsiz</v>
          </cell>
          <cell r="O3034">
            <v>0</v>
          </cell>
          <cell r="P3034">
            <v>0</v>
          </cell>
          <cell r="Q3034">
            <v>0</v>
          </cell>
          <cell r="R3034">
            <v>3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25.600000012200326</v>
          </cell>
          <cell r="Y3034">
            <v>0</v>
          </cell>
          <cell r="Z3034">
            <v>0</v>
          </cell>
        </row>
        <row r="3035">
          <cell r="C3035" t="str">
            <v>EDİRNE</v>
          </cell>
          <cell r="D3035" t="str">
            <v>UZUNKÖPRÜ</v>
          </cell>
          <cell r="H3035" t="str">
            <v>Dağıtım-OG</v>
          </cell>
          <cell r="I3035" t="str">
            <v>Uzun</v>
          </cell>
          <cell r="J3035" t="str">
            <v>Şebeke işletmecisi</v>
          </cell>
          <cell r="K3035" t="str">
            <v>Bildirimsiz</v>
          </cell>
          <cell r="O3035">
            <v>2</v>
          </cell>
          <cell r="P3035">
            <v>0</v>
          </cell>
          <cell r="Q3035">
            <v>0</v>
          </cell>
          <cell r="R3035">
            <v>0</v>
          </cell>
          <cell r="S3035">
            <v>3</v>
          </cell>
          <cell r="T3035">
            <v>0</v>
          </cell>
          <cell r="U3035">
            <v>17.033333333674818</v>
          </cell>
          <cell r="V3035">
            <v>0</v>
          </cell>
          <cell r="W3035">
            <v>0</v>
          </cell>
          <cell r="X3035">
            <v>0</v>
          </cell>
          <cell r="Y3035">
            <v>25.550000000512227</v>
          </cell>
          <cell r="Z3035">
            <v>0</v>
          </cell>
        </row>
        <row r="3036">
          <cell r="C3036" t="str">
            <v>TEKİRDAĞ</v>
          </cell>
          <cell r="D3036" t="str">
            <v>SÜLEYMANPAŞA</v>
          </cell>
          <cell r="H3036" t="str">
            <v>Dağıtım-AG</v>
          </cell>
          <cell r="I3036" t="str">
            <v>Uzun</v>
          </cell>
          <cell r="J3036" t="str">
            <v>Şebeke işletmecisi</v>
          </cell>
          <cell r="K3036" t="str">
            <v>Bildirimsiz</v>
          </cell>
          <cell r="O3036">
            <v>0</v>
          </cell>
          <cell r="P3036">
            <v>49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416.49999981746078</v>
          </cell>
          <cell r="W3036">
            <v>0</v>
          </cell>
          <cell r="X3036">
            <v>0</v>
          </cell>
          <cell r="Y3036">
            <v>0</v>
          </cell>
          <cell r="Z3036">
            <v>0</v>
          </cell>
        </row>
        <row r="3037">
          <cell r="C3037" t="str">
            <v>EDİRNE</v>
          </cell>
          <cell r="D3037" t="str">
            <v>UZUNKÖPRÜ</v>
          </cell>
          <cell r="H3037" t="str">
            <v>Dağıtım-OG</v>
          </cell>
          <cell r="I3037" t="str">
            <v>Uzun</v>
          </cell>
          <cell r="J3037" t="str">
            <v>Şebeke İşletmecisi</v>
          </cell>
          <cell r="K3037" t="str">
            <v>Bildirimsiz</v>
          </cell>
          <cell r="O3037">
            <v>1</v>
          </cell>
          <cell r="P3037">
            <v>0</v>
          </cell>
          <cell r="Q3037">
            <v>0</v>
          </cell>
          <cell r="R3037">
            <v>0</v>
          </cell>
          <cell r="S3037">
            <v>3</v>
          </cell>
          <cell r="T3037">
            <v>0</v>
          </cell>
          <cell r="U3037">
            <v>8.4666666761040688</v>
          </cell>
          <cell r="V3037">
            <v>0</v>
          </cell>
          <cell r="W3037">
            <v>0</v>
          </cell>
          <cell r="X3037">
            <v>0</v>
          </cell>
          <cell r="Y3037">
            <v>25.400000028312206</v>
          </cell>
          <cell r="Z3037">
            <v>0</v>
          </cell>
        </row>
        <row r="3038">
          <cell r="C3038" t="str">
            <v>TEKİRDAĞ</v>
          </cell>
          <cell r="D3038" t="str">
            <v>MALKARA</v>
          </cell>
          <cell r="H3038" t="str">
            <v>Dağıtım-OG</v>
          </cell>
          <cell r="I3038" t="str">
            <v>Uzun</v>
          </cell>
          <cell r="J3038" t="str">
            <v>Şebeke İşletmecisi</v>
          </cell>
          <cell r="K3038" t="str">
            <v>Bildirimsiz</v>
          </cell>
          <cell r="O3038">
            <v>7</v>
          </cell>
          <cell r="P3038">
            <v>0</v>
          </cell>
          <cell r="Q3038">
            <v>0</v>
          </cell>
          <cell r="R3038">
            <v>0</v>
          </cell>
          <cell r="S3038">
            <v>5</v>
          </cell>
          <cell r="T3038">
            <v>151</v>
          </cell>
          <cell r="U3038">
            <v>59.266666659386829</v>
          </cell>
          <cell r="V3038">
            <v>0</v>
          </cell>
          <cell r="W3038">
            <v>0</v>
          </cell>
          <cell r="X3038">
            <v>0</v>
          </cell>
          <cell r="Y3038">
            <v>42.333333328133449</v>
          </cell>
          <cell r="Z3038">
            <v>1278.4666665096302</v>
          </cell>
        </row>
        <row r="3039">
          <cell r="C3039" t="str">
            <v>EDİRNE</v>
          </cell>
          <cell r="D3039" t="str">
            <v>EDİRNEMERKEZ</v>
          </cell>
          <cell r="H3039" t="str">
            <v>Dağıtım-OG</v>
          </cell>
          <cell r="I3039" t="str">
            <v>Uzun</v>
          </cell>
          <cell r="J3039" t="str">
            <v>Şebeke İşletmecisi</v>
          </cell>
          <cell r="K3039" t="str">
            <v>Bildirimsiz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3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>
            <v>25.349999985191971</v>
          </cell>
          <cell r="Z3039">
            <v>0</v>
          </cell>
        </row>
        <row r="3040">
          <cell r="C3040" t="str">
            <v>EDİRNE</v>
          </cell>
          <cell r="D3040" t="str">
            <v>MERİÇ</v>
          </cell>
          <cell r="H3040" t="str">
            <v>Dağıtım-OG</v>
          </cell>
          <cell r="I3040" t="str">
            <v>Uzun</v>
          </cell>
          <cell r="J3040" t="str">
            <v>Şebeke İşletmecisi</v>
          </cell>
          <cell r="K3040" t="str">
            <v>Bildirimsiz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11</v>
          </cell>
          <cell r="T3040">
            <v>150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>
            <v>92.583333308575675</v>
          </cell>
          <cell r="Z3040">
            <v>1262.4999996623956</v>
          </cell>
        </row>
        <row r="3041">
          <cell r="C3041" t="str">
            <v>EDİRNE</v>
          </cell>
          <cell r="D3041" t="str">
            <v>EDİRNEMERKEZ</v>
          </cell>
          <cell r="H3041" t="str">
            <v>Dağıtım-OG</v>
          </cell>
          <cell r="I3041" t="str">
            <v>Uzun</v>
          </cell>
          <cell r="J3041" t="str">
            <v>Şebeke İşletmecisi</v>
          </cell>
          <cell r="K3041" t="str">
            <v>Bildirimsiz</v>
          </cell>
          <cell r="O3041">
            <v>2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16.766666667535901</v>
          </cell>
          <cell r="V3041">
            <v>0</v>
          </cell>
          <cell r="W3041">
            <v>0</v>
          </cell>
          <cell r="X3041">
            <v>0</v>
          </cell>
          <cell r="Y3041">
            <v>0</v>
          </cell>
          <cell r="Z3041">
            <v>0</v>
          </cell>
        </row>
        <row r="3042">
          <cell r="C3042" t="str">
            <v>KIRKLARELİ</v>
          </cell>
          <cell r="D3042" t="str">
            <v>LÜLEBURGAZ</v>
          </cell>
          <cell r="H3042" t="str">
            <v>Dağıtım-OG</v>
          </cell>
          <cell r="I3042" t="str">
            <v>Uzun</v>
          </cell>
          <cell r="J3042" t="str">
            <v>Şebeke İşletmecisi</v>
          </cell>
          <cell r="K3042" t="str">
            <v>Bildirimsiz</v>
          </cell>
          <cell r="O3042">
            <v>1</v>
          </cell>
          <cell r="P3042">
            <v>0</v>
          </cell>
          <cell r="Q3042">
            <v>0</v>
          </cell>
          <cell r="R3042">
            <v>0</v>
          </cell>
          <cell r="S3042">
            <v>20</v>
          </cell>
          <cell r="T3042">
            <v>303</v>
          </cell>
          <cell r="U3042">
            <v>8.3666666632052511</v>
          </cell>
          <cell r="V3042">
            <v>0</v>
          </cell>
          <cell r="W3042">
            <v>0</v>
          </cell>
          <cell r="X3042">
            <v>0</v>
          </cell>
          <cell r="Y3042">
            <v>167.33333326410502</v>
          </cell>
          <cell r="Z3042">
            <v>2535.0999989511911</v>
          </cell>
        </row>
        <row r="3043">
          <cell r="C3043" t="str">
            <v>EDİRNE</v>
          </cell>
          <cell r="D3043" t="str">
            <v>HAVSA</v>
          </cell>
          <cell r="H3043" t="str">
            <v>Dağıtım-OG</v>
          </cell>
          <cell r="I3043" t="str">
            <v>Uzun</v>
          </cell>
          <cell r="J3043" t="str">
            <v>Şebeke işletmecisi</v>
          </cell>
          <cell r="K3043" t="str">
            <v>Bildirimsiz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5</v>
          </cell>
          <cell r="T3043">
            <v>1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>
            <v>41.750000015599653</v>
          </cell>
          <cell r="Z3043">
            <v>8.3500000031199306</v>
          </cell>
        </row>
        <row r="3044">
          <cell r="C3044" t="str">
            <v>EDİRNE</v>
          </cell>
          <cell r="D3044" t="str">
            <v>MERİÇ</v>
          </cell>
          <cell r="H3044" t="str">
            <v>Dağıtım-OG</v>
          </cell>
          <cell r="I3044" t="str">
            <v>Uzun</v>
          </cell>
          <cell r="J3044" t="str">
            <v>Şebeke İşletmecisi</v>
          </cell>
          <cell r="K3044" t="str">
            <v>Bildirimsiz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4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>
            <v>33.399999970570207</v>
          </cell>
          <cell r="Z3044">
            <v>0</v>
          </cell>
        </row>
        <row r="3045">
          <cell r="C3045" t="str">
            <v>TEKİRDAĞ</v>
          </cell>
          <cell r="D3045" t="str">
            <v>ŞARKÖY</v>
          </cell>
          <cell r="H3045" t="str">
            <v>Dağıtım-AG</v>
          </cell>
          <cell r="I3045" t="str">
            <v>Uzun</v>
          </cell>
          <cell r="J3045" t="str">
            <v>Şebeke işletmecisi</v>
          </cell>
          <cell r="K3045" t="str">
            <v>Bildirimsiz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73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>
            <v>0</v>
          </cell>
          <cell r="Z3045">
            <v>604.68333395314403</v>
          </cell>
        </row>
        <row r="3046">
          <cell r="C3046" t="str">
            <v>EDİRNE</v>
          </cell>
          <cell r="D3046" t="str">
            <v>ENEZ</v>
          </cell>
          <cell r="H3046" t="str">
            <v>Dağıtım-OG</v>
          </cell>
          <cell r="I3046" t="str">
            <v>Uzun</v>
          </cell>
          <cell r="J3046" t="str">
            <v>Şebeke İşletmecisi</v>
          </cell>
          <cell r="K3046" t="str">
            <v>Bildirimsiz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14</v>
          </cell>
          <cell r="T3046">
            <v>1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>
            <v>115.26666662190109</v>
          </cell>
          <cell r="Z3046">
            <v>8.2333333301357925</v>
          </cell>
        </row>
        <row r="3047">
          <cell r="C3047" t="str">
            <v>EDİRNE</v>
          </cell>
          <cell r="D3047" t="str">
            <v>UZUNKÖPRÜ</v>
          </cell>
          <cell r="H3047" t="str">
            <v>Dağıtım-AG</v>
          </cell>
          <cell r="I3047" t="str">
            <v>Uzun</v>
          </cell>
          <cell r="J3047" t="str">
            <v>Şebeke işletmecisi</v>
          </cell>
          <cell r="K3047" t="str">
            <v>Bildirimsiz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43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>
            <v>0</v>
          </cell>
          <cell r="Z3047">
            <v>351.88333359430544</v>
          </cell>
        </row>
        <row r="3048">
          <cell r="C3048" t="str">
            <v>EDİRNE</v>
          </cell>
          <cell r="D3048" t="str">
            <v>MERİÇ</v>
          </cell>
          <cell r="H3048" t="str">
            <v>Dağıtım-OG</v>
          </cell>
          <cell r="I3048" t="str">
            <v>Uzun</v>
          </cell>
          <cell r="J3048" t="str">
            <v>Şebeke İşletmecisi</v>
          </cell>
          <cell r="K3048" t="str">
            <v>Bildirimsiz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1</v>
          </cell>
          <cell r="T3048">
            <v>216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>
            <v>8.1833333394024521</v>
          </cell>
          <cell r="Z3048">
            <v>1767.6000013109297</v>
          </cell>
        </row>
        <row r="3049">
          <cell r="C3049" t="str">
            <v>TEKİRDAĞ</v>
          </cell>
          <cell r="D3049" t="str">
            <v>MALKARA</v>
          </cell>
          <cell r="H3049" t="str">
            <v>Dağıtım-OG</v>
          </cell>
          <cell r="I3049" t="str">
            <v>Uzun</v>
          </cell>
          <cell r="J3049" t="str">
            <v>Şebeke işletmecisi</v>
          </cell>
          <cell r="K3049" t="str">
            <v>Bildirimsiz</v>
          </cell>
          <cell r="O3049">
            <v>1</v>
          </cell>
          <cell r="P3049">
            <v>103</v>
          </cell>
          <cell r="Q3049">
            <v>4</v>
          </cell>
          <cell r="R3049">
            <v>0</v>
          </cell>
          <cell r="S3049">
            <v>1</v>
          </cell>
          <cell r="T3049">
            <v>217</v>
          </cell>
          <cell r="U3049">
            <v>8.1666666688397527</v>
          </cell>
          <cell r="V3049">
            <v>841.16666689049453</v>
          </cell>
          <cell r="W3049">
            <v>32.666666675359011</v>
          </cell>
          <cell r="X3049">
            <v>0</v>
          </cell>
          <cell r="Y3049">
            <v>8.1666666688397527</v>
          </cell>
          <cell r="Z3049">
            <v>1772.1666671382263</v>
          </cell>
        </row>
        <row r="3050">
          <cell r="C3050" t="str">
            <v>KIRKLARELİ</v>
          </cell>
          <cell r="D3050" t="str">
            <v>KIRKLARELİMERKEZ</v>
          </cell>
          <cell r="H3050" t="str">
            <v>Dağıtım-OG</v>
          </cell>
          <cell r="I3050" t="str">
            <v>Uzun</v>
          </cell>
          <cell r="J3050" t="str">
            <v>Şebeke İşletmecisi</v>
          </cell>
          <cell r="K3050" t="str">
            <v>Bildirimsiz</v>
          </cell>
          <cell r="O3050">
            <v>0</v>
          </cell>
          <cell r="P3050">
            <v>0</v>
          </cell>
          <cell r="Q3050">
            <v>5</v>
          </cell>
          <cell r="R3050">
            <v>0</v>
          </cell>
          <cell r="S3050">
            <v>2</v>
          </cell>
          <cell r="T3050">
            <v>139</v>
          </cell>
          <cell r="U3050">
            <v>0</v>
          </cell>
          <cell r="V3050">
            <v>0</v>
          </cell>
          <cell r="W3050">
            <v>40.666666638571769</v>
          </cell>
          <cell r="X3050">
            <v>0</v>
          </cell>
          <cell r="Y3050">
            <v>16.266666655428708</v>
          </cell>
          <cell r="Z3050">
            <v>1130.5333325522952</v>
          </cell>
        </row>
        <row r="3051">
          <cell r="C3051" t="str">
            <v>EDİRNE</v>
          </cell>
          <cell r="D3051" t="str">
            <v>HAVSA</v>
          </cell>
          <cell r="H3051" t="str">
            <v>Dağıtım-OG</v>
          </cell>
          <cell r="I3051" t="str">
            <v>Uzun</v>
          </cell>
          <cell r="J3051" t="str">
            <v>Şebeke İşletmecisi</v>
          </cell>
          <cell r="K3051" t="str">
            <v>Bildirimsiz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1</v>
          </cell>
          <cell r="T3051">
            <v>122</v>
          </cell>
          <cell r="U3051">
            <v>0</v>
          </cell>
          <cell r="V3051">
            <v>0</v>
          </cell>
          <cell r="W3051">
            <v>0</v>
          </cell>
          <cell r="X3051">
            <v>0</v>
          </cell>
          <cell r="Y3051">
            <v>8.1333333277143538</v>
          </cell>
          <cell r="Z3051">
            <v>992.26666598115116</v>
          </cell>
        </row>
        <row r="3052">
          <cell r="C3052" t="str">
            <v>EDİRNE</v>
          </cell>
          <cell r="D3052" t="str">
            <v>UZUNKÖPRÜ</v>
          </cell>
          <cell r="H3052" t="str">
            <v>Dağıtım-AG</v>
          </cell>
          <cell r="I3052" t="str">
            <v>Uzun</v>
          </cell>
          <cell r="J3052" t="str">
            <v>Şebeke işletmecisi</v>
          </cell>
          <cell r="K3052" t="str">
            <v>Bildirimsiz</v>
          </cell>
          <cell r="O3052">
            <v>0</v>
          </cell>
          <cell r="P3052">
            <v>0</v>
          </cell>
          <cell r="Q3052">
            <v>0</v>
          </cell>
          <cell r="R3052">
            <v>14</v>
          </cell>
          <cell r="S3052">
            <v>0</v>
          </cell>
          <cell r="T3052">
            <v>0</v>
          </cell>
          <cell r="U3052">
            <v>0</v>
          </cell>
          <cell r="V3052">
            <v>0</v>
          </cell>
          <cell r="W3052">
            <v>0</v>
          </cell>
          <cell r="X3052">
            <v>113.39999995892867</v>
          </cell>
          <cell r="Y3052">
            <v>0</v>
          </cell>
          <cell r="Z3052">
            <v>0</v>
          </cell>
        </row>
        <row r="3053">
          <cell r="C3053" t="str">
            <v>KIRKLARELİ</v>
          </cell>
          <cell r="D3053" t="str">
            <v>KIRKLARELİMERKEZ</v>
          </cell>
          <cell r="H3053" t="str">
            <v>Dağıtım-AG</v>
          </cell>
          <cell r="I3053" t="str">
            <v>Uzun</v>
          </cell>
          <cell r="J3053" t="str">
            <v>Şebeke işletmecisi</v>
          </cell>
          <cell r="K3053" t="str">
            <v>Bildirimsiz</v>
          </cell>
          <cell r="O3053">
            <v>0</v>
          </cell>
          <cell r="P3053">
            <v>0</v>
          </cell>
          <cell r="Q3053">
            <v>0</v>
          </cell>
          <cell r="R3053">
            <v>16</v>
          </cell>
          <cell r="S3053">
            <v>0</v>
          </cell>
          <cell r="T3053">
            <v>0</v>
          </cell>
          <cell r="U3053">
            <v>0</v>
          </cell>
          <cell r="V3053">
            <v>0</v>
          </cell>
          <cell r="W3053">
            <v>0</v>
          </cell>
          <cell r="X3053">
            <v>128.79999993368983</v>
          </cell>
          <cell r="Y3053">
            <v>0</v>
          </cell>
          <cell r="Z3053">
            <v>0</v>
          </cell>
        </row>
        <row r="3054">
          <cell r="C3054" t="str">
            <v>TEKİRDAĞ</v>
          </cell>
          <cell r="D3054" t="str">
            <v>SARAY</v>
          </cell>
          <cell r="H3054" t="str">
            <v>Dağıtım-AG</v>
          </cell>
          <cell r="I3054" t="str">
            <v>Uzun</v>
          </cell>
          <cell r="J3054" t="str">
            <v>Şebeke işletmecisi</v>
          </cell>
          <cell r="K3054" t="str">
            <v>Bildirimsiz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14</v>
          </cell>
          <cell r="U3054">
            <v>0</v>
          </cell>
          <cell r="V3054">
            <v>0</v>
          </cell>
          <cell r="W3054">
            <v>0</v>
          </cell>
          <cell r="X3054">
            <v>0</v>
          </cell>
          <cell r="Y3054">
            <v>0</v>
          </cell>
          <cell r="Z3054">
            <v>112.46666670078412</v>
          </cell>
        </row>
        <row r="3055">
          <cell r="C3055" t="str">
            <v>EDİRNE</v>
          </cell>
          <cell r="D3055" t="str">
            <v>UZUNKÖPRÜ</v>
          </cell>
          <cell r="H3055" t="str">
            <v>Dağıtım-OG</v>
          </cell>
          <cell r="I3055" t="str">
            <v>Uzun</v>
          </cell>
          <cell r="J3055" t="str">
            <v>Şebeke İşletmecisi</v>
          </cell>
          <cell r="K3055" t="str">
            <v>Bildirimsiz</v>
          </cell>
          <cell r="O3055">
            <v>2</v>
          </cell>
          <cell r="P3055">
            <v>0</v>
          </cell>
          <cell r="Q3055">
            <v>0</v>
          </cell>
          <cell r="R3055">
            <v>0</v>
          </cell>
          <cell r="S3055">
            <v>4</v>
          </cell>
          <cell r="T3055">
            <v>0</v>
          </cell>
          <cell r="U3055">
            <v>16.033333330415189</v>
          </cell>
          <cell r="V3055">
            <v>0</v>
          </cell>
          <cell r="W3055">
            <v>0</v>
          </cell>
          <cell r="X3055">
            <v>0</v>
          </cell>
          <cell r="Y3055">
            <v>32.066666660830379</v>
          </cell>
          <cell r="Z3055">
            <v>0</v>
          </cell>
        </row>
        <row r="3056">
          <cell r="C3056" t="str">
            <v>TEKİRDAĞ</v>
          </cell>
          <cell r="D3056" t="str">
            <v>KAPAKLI</v>
          </cell>
          <cell r="H3056" t="str">
            <v>Dağıtım-OG</v>
          </cell>
          <cell r="I3056" t="str">
            <v>Uzun</v>
          </cell>
          <cell r="J3056" t="str">
            <v>Şebeke işletmecisi</v>
          </cell>
          <cell r="K3056" t="str">
            <v>Bildirimsiz</v>
          </cell>
          <cell r="O3056">
            <v>7</v>
          </cell>
          <cell r="P3056">
            <v>308</v>
          </cell>
          <cell r="Q3056">
            <v>0</v>
          </cell>
          <cell r="R3056">
            <v>0</v>
          </cell>
          <cell r="S3056">
            <v>2</v>
          </cell>
          <cell r="T3056">
            <v>317</v>
          </cell>
          <cell r="U3056">
            <v>55.999999962514266</v>
          </cell>
          <cell r="V3056">
            <v>2463.9999983506277</v>
          </cell>
          <cell r="W3056">
            <v>0</v>
          </cell>
          <cell r="X3056">
            <v>0</v>
          </cell>
          <cell r="Y3056">
            <v>15.99999998928979</v>
          </cell>
          <cell r="Z3056">
            <v>2535.9999983024318</v>
          </cell>
        </row>
        <row r="3057">
          <cell r="C3057" t="str">
            <v>KIRKLARELİ</v>
          </cell>
          <cell r="D3057" t="str">
            <v>KIRKLARELİMERKEZ</v>
          </cell>
          <cell r="H3057" t="str">
            <v>Dağıtım-OG</v>
          </cell>
          <cell r="I3057" t="str">
            <v>Uzun</v>
          </cell>
          <cell r="J3057" t="str">
            <v>Şebeke İşletmecisi</v>
          </cell>
          <cell r="K3057" t="str">
            <v>Bildirimsiz</v>
          </cell>
          <cell r="O3057">
            <v>1</v>
          </cell>
          <cell r="P3057">
            <v>1857</v>
          </cell>
          <cell r="Q3057">
            <v>0</v>
          </cell>
          <cell r="R3057">
            <v>4</v>
          </cell>
          <cell r="S3057">
            <v>0</v>
          </cell>
          <cell r="T3057">
            <v>0</v>
          </cell>
          <cell r="U3057">
            <v>7.9833333345595747</v>
          </cell>
          <cell r="V3057">
            <v>14825.05000227713</v>
          </cell>
          <cell r="W3057">
            <v>0</v>
          </cell>
          <cell r="X3057">
            <v>31.933333338238299</v>
          </cell>
          <cell r="Y3057">
            <v>0</v>
          </cell>
          <cell r="Z3057">
            <v>0</v>
          </cell>
        </row>
        <row r="3058">
          <cell r="C3058" t="str">
            <v>EDİRNE</v>
          </cell>
          <cell r="D3058" t="str">
            <v>UZUNKÖPRÜ</v>
          </cell>
          <cell r="H3058" t="str">
            <v>Dağıtım-OG</v>
          </cell>
          <cell r="I3058" t="str">
            <v>Uzun</v>
          </cell>
          <cell r="J3058" t="str">
            <v>Şebeke İşletmecisi</v>
          </cell>
          <cell r="K3058" t="str">
            <v>Bildirimsiz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27</v>
          </cell>
          <cell r="T3058">
            <v>303</v>
          </cell>
          <cell r="U3058">
            <v>0</v>
          </cell>
          <cell r="V3058">
            <v>0</v>
          </cell>
          <cell r="W3058">
            <v>0</v>
          </cell>
          <cell r="X3058">
            <v>0</v>
          </cell>
          <cell r="Y3058">
            <v>215.10000021080486</v>
          </cell>
          <cell r="Z3058">
            <v>2413.900002365699</v>
          </cell>
        </row>
        <row r="3059">
          <cell r="C3059" t="str">
            <v>TEKİRDAĞ</v>
          </cell>
          <cell r="D3059" t="str">
            <v>ÇORLU</v>
          </cell>
          <cell r="H3059" t="str">
            <v>Dağıtım-OG</v>
          </cell>
          <cell r="I3059" t="str">
            <v>Uzun</v>
          </cell>
          <cell r="J3059" t="str">
            <v>Şebeke işletmecisi</v>
          </cell>
          <cell r="K3059" t="str">
            <v>Bildirimsiz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11</v>
          </cell>
          <cell r="T3059">
            <v>2</v>
          </cell>
          <cell r="U3059">
            <v>0</v>
          </cell>
          <cell r="V3059">
            <v>0</v>
          </cell>
          <cell r="W3059">
            <v>0</v>
          </cell>
          <cell r="X3059">
            <v>0</v>
          </cell>
          <cell r="Y3059">
            <v>86.716666768770665</v>
          </cell>
          <cell r="Z3059">
            <v>15.76666668523103</v>
          </cell>
        </row>
        <row r="3060">
          <cell r="C3060" t="str">
            <v>EDİRNE</v>
          </cell>
          <cell r="D3060" t="str">
            <v>KEŞAN</v>
          </cell>
          <cell r="H3060" t="str">
            <v>Dağıtım-AG</v>
          </cell>
          <cell r="I3060" t="str">
            <v>Uzun</v>
          </cell>
          <cell r="J3060" t="str">
            <v>Şebeke işletmecisi</v>
          </cell>
          <cell r="K3060" t="str">
            <v>Bildirimsiz</v>
          </cell>
          <cell r="O3060">
            <v>0</v>
          </cell>
          <cell r="P3060">
            <v>10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  <cell r="U3060">
            <v>0</v>
          </cell>
          <cell r="V3060">
            <v>78.83333342615515</v>
          </cell>
          <cell r="W3060">
            <v>0</v>
          </cell>
          <cell r="X3060">
            <v>0</v>
          </cell>
          <cell r="Y3060">
            <v>0</v>
          </cell>
          <cell r="Z3060">
            <v>0</v>
          </cell>
        </row>
        <row r="3061">
          <cell r="C3061" t="str">
            <v>TEKİRDAĞ</v>
          </cell>
          <cell r="D3061" t="str">
            <v>ÇORLU</v>
          </cell>
          <cell r="H3061" t="str">
            <v>Dağıtım-OG</v>
          </cell>
          <cell r="I3061" t="str">
            <v>Uzun</v>
          </cell>
          <cell r="J3061" t="str">
            <v>Şebeke İşletmecisi</v>
          </cell>
          <cell r="K3061" t="str">
            <v>Bildirimsiz</v>
          </cell>
          <cell r="O3061">
            <v>1</v>
          </cell>
          <cell r="P3061">
            <v>1779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  <cell r="U3061">
            <v>7.883333332138136</v>
          </cell>
          <cell r="V3061">
            <v>14024.449997873744</v>
          </cell>
          <cell r="W3061">
            <v>0</v>
          </cell>
          <cell r="X3061">
            <v>0</v>
          </cell>
          <cell r="Y3061">
            <v>0</v>
          </cell>
          <cell r="Z3061">
            <v>0</v>
          </cell>
        </row>
        <row r="3062">
          <cell r="C3062" t="str">
            <v>TEKİRDAĞ</v>
          </cell>
          <cell r="D3062" t="str">
            <v>MARMARAEREĞLİSİ</v>
          </cell>
          <cell r="H3062" t="str">
            <v>Dağıtım-OG</v>
          </cell>
          <cell r="I3062" t="str">
            <v>Uzun</v>
          </cell>
          <cell r="J3062" t="str">
            <v>Şebeke işletmecisi</v>
          </cell>
          <cell r="K3062" t="str">
            <v>Bildirimli</v>
          </cell>
          <cell r="O3062">
            <v>0</v>
          </cell>
          <cell r="P3062">
            <v>12</v>
          </cell>
          <cell r="Q3062">
            <v>19</v>
          </cell>
          <cell r="R3062">
            <v>2585</v>
          </cell>
          <cell r="S3062">
            <v>0</v>
          </cell>
          <cell r="T3062">
            <v>0</v>
          </cell>
          <cell r="U3062">
            <v>0</v>
          </cell>
          <cell r="V3062">
            <v>94.599999985657632</v>
          </cell>
          <cell r="W3062">
            <v>149.78333331062458</v>
          </cell>
          <cell r="X3062">
            <v>20378.416663577082</v>
          </cell>
          <cell r="Y3062">
            <v>0</v>
          </cell>
          <cell r="Z3062">
            <v>0</v>
          </cell>
        </row>
        <row r="3063">
          <cell r="C3063" t="str">
            <v>TEKİRDAĞ</v>
          </cell>
          <cell r="D3063" t="str">
            <v>MARMARAEREĞLİSİ</v>
          </cell>
          <cell r="H3063" t="str">
            <v>Dağıtım-OG</v>
          </cell>
          <cell r="I3063" t="str">
            <v>Uzun</v>
          </cell>
          <cell r="J3063" t="str">
            <v>Şebeke işletmecisi</v>
          </cell>
          <cell r="K3063" t="str">
            <v>Bildirimli</v>
          </cell>
          <cell r="O3063">
            <v>0</v>
          </cell>
          <cell r="P3063">
            <v>1</v>
          </cell>
          <cell r="Q3063">
            <v>5</v>
          </cell>
          <cell r="R3063">
            <v>85</v>
          </cell>
          <cell r="S3063">
            <v>0</v>
          </cell>
          <cell r="T3063">
            <v>0</v>
          </cell>
          <cell r="U3063">
            <v>0</v>
          </cell>
          <cell r="V3063">
            <v>7.883333332138136</v>
          </cell>
          <cell r="W3063">
            <v>39.41666666069068</v>
          </cell>
          <cell r="X3063">
            <v>670.08333323174156</v>
          </cell>
          <cell r="Y3063">
            <v>0</v>
          </cell>
          <cell r="Z3063">
            <v>0</v>
          </cell>
        </row>
        <row r="3064">
          <cell r="C3064" t="str">
            <v>TEKİRDAĞ</v>
          </cell>
          <cell r="D3064" t="str">
            <v>MARMARAEREĞLİSİ</v>
          </cell>
          <cell r="H3064" t="str">
            <v>Dağıtım-OG</v>
          </cell>
          <cell r="I3064" t="str">
            <v>Uzun</v>
          </cell>
          <cell r="J3064" t="str">
            <v>Şebeke işletmecisi</v>
          </cell>
          <cell r="K3064" t="str">
            <v>Bildirimli</v>
          </cell>
          <cell r="O3064">
            <v>5</v>
          </cell>
          <cell r="P3064">
            <v>45</v>
          </cell>
          <cell r="Q3064">
            <v>39</v>
          </cell>
          <cell r="R3064">
            <v>9728</v>
          </cell>
          <cell r="S3064">
            <v>0</v>
          </cell>
          <cell r="T3064">
            <v>15</v>
          </cell>
          <cell r="U3064">
            <v>39.41666666069068</v>
          </cell>
          <cell r="V3064">
            <v>354.74999994621612</v>
          </cell>
          <cell r="W3064">
            <v>307.44999995338731</v>
          </cell>
          <cell r="X3064">
            <v>76689.066655039787</v>
          </cell>
          <cell r="Y3064">
            <v>0</v>
          </cell>
          <cell r="Z3064">
            <v>118.24999998207204</v>
          </cell>
        </row>
        <row r="3065">
          <cell r="C3065" t="str">
            <v>TEKİRDAĞ</v>
          </cell>
          <cell r="D3065" t="str">
            <v>MARMARAEREĞLİSİ</v>
          </cell>
          <cell r="H3065" t="str">
            <v>Dağıtım-AG</v>
          </cell>
          <cell r="I3065" t="str">
            <v>Uzun</v>
          </cell>
          <cell r="J3065" t="str">
            <v>Şebeke işletmecisi</v>
          </cell>
          <cell r="K3065" t="str">
            <v>Bildirimsiz</v>
          </cell>
          <cell r="O3065">
            <v>0</v>
          </cell>
          <cell r="P3065">
            <v>0</v>
          </cell>
          <cell r="Q3065">
            <v>0</v>
          </cell>
          <cell r="R3065">
            <v>3</v>
          </cell>
          <cell r="S3065">
            <v>0</v>
          </cell>
          <cell r="T3065">
            <v>0</v>
          </cell>
          <cell r="U3065">
            <v>0</v>
          </cell>
          <cell r="V3065">
            <v>0</v>
          </cell>
          <cell r="W3065">
            <v>0</v>
          </cell>
          <cell r="X3065">
            <v>23.59999998472631</v>
          </cell>
          <cell r="Y3065">
            <v>0</v>
          </cell>
          <cell r="Z3065">
            <v>0</v>
          </cell>
        </row>
        <row r="3066">
          <cell r="C3066" t="str">
            <v>KIRKLARELİ</v>
          </cell>
          <cell r="D3066" t="str">
            <v>LÜLEBURGAZ</v>
          </cell>
          <cell r="H3066" t="str">
            <v>Dağıtım-AG</v>
          </cell>
          <cell r="I3066" t="str">
            <v>Uzun</v>
          </cell>
          <cell r="J3066" t="str">
            <v>Şebeke işletmecisi</v>
          </cell>
          <cell r="K3066" t="str">
            <v>Bildirimsiz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1</v>
          </cell>
          <cell r="U3066">
            <v>0</v>
          </cell>
          <cell r="V3066">
            <v>0</v>
          </cell>
          <cell r="W3066">
            <v>0</v>
          </cell>
          <cell r="X3066">
            <v>0</v>
          </cell>
          <cell r="Y3066">
            <v>0</v>
          </cell>
          <cell r="Z3066">
            <v>7.8333333309274167</v>
          </cell>
        </row>
        <row r="3067">
          <cell r="C3067" t="str">
            <v>TEKİRDAĞ</v>
          </cell>
          <cell r="D3067" t="str">
            <v>MURATLI</v>
          </cell>
          <cell r="H3067" t="str">
            <v>Dağıtım-AG</v>
          </cell>
          <cell r="I3067" t="str">
            <v>Uzun</v>
          </cell>
          <cell r="J3067" t="str">
            <v>Şebeke işletmecisi</v>
          </cell>
          <cell r="K3067" t="str">
            <v>Bildirimsiz</v>
          </cell>
          <cell r="O3067">
            <v>0</v>
          </cell>
          <cell r="P3067">
            <v>4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>
            <v>0</v>
          </cell>
          <cell r="V3067">
            <v>31.333333323709667</v>
          </cell>
          <cell r="W3067">
            <v>0</v>
          </cell>
          <cell r="X3067">
            <v>0</v>
          </cell>
          <cell r="Y3067">
            <v>0</v>
          </cell>
          <cell r="Z3067">
            <v>0</v>
          </cell>
        </row>
        <row r="3068">
          <cell r="C3068" t="str">
            <v>TEKİRDAĞ</v>
          </cell>
          <cell r="D3068" t="str">
            <v>ÇORLU</v>
          </cell>
          <cell r="H3068" t="str">
            <v>Dağıtım-OG</v>
          </cell>
          <cell r="I3068" t="str">
            <v>Uzun</v>
          </cell>
          <cell r="J3068" t="str">
            <v>Şebeke işletmecisi</v>
          </cell>
          <cell r="K3068" t="str">
            <v>Bildirimsiz</v>
          </cell>
          <cell r="O3068">
            <v>1</v>
          </cell>
          <cell r="P3068">
            <v>14</v>
          </cell>
          <cell r="Q3068">
            <v>0</v>
          </cell>
          <cell r="R3068">
            <v>0</v>
          </cell>
          <cell r="S3068">
            <v>16</v>
          </cell>
          <cell r="T3068">
            <v>2086</v>
          </cell>
          <cell r="U3068">
            <v>7.8166666708420962</v>
          </cell>
          <cell r="V3068">
            <v>109.43333339178935</v>
          </cell>
          <cell r="W3068">
            <v>0</v>
          </cell>
          <cell r="X3068">
            <v>0</v>
          </cell>
          <cell r="Y3068">
            <v>125.06666673347354</v>
          </cell>
          <cell r="Z3068">
            <v>16305.566675376613</v>
          </cell>
        </row>
        <row r="3069">
          <cell r="C3069" t="str">
            <v>TEKİRDAĞ</v>
          </cell>
          <cell r="D3069" t="str">
            <v>SARAY</v>
          </cell>
          <cell r="H3069" t="str">
            <v>Dağıtım-AG</v>
          </cell>
          <cell r="I3069" t="str">
            <v>Uzun</v>
          </cell>
          <cell r="J3069" t="str">
            <v>Şebeke işletmecisi</v>
          </cell>
          <cell r="K3069" t="str">
            <v>Bildirimsiz</v>
          </cell>
          <cell r="O3069">
            <v>0</v>
          </cell>
          <cell r="P3069">
            <v>0</v>
          </cell>
          <cell r="Q3069">
            <v>0</v>
          </cell>
          <cell r="R3069">
            <v>3</v>
          </cell>
          <cell r="S3069">
            <v>0</v>
          </cell>
          <cell r="T3069">
            <v>0</v>
          </cell>
          <cell r="U3069">
            <v>0</v>
          </cell>
          <cell r="V3069">
            <v>0</v>
          </cell>
          <cell r="W3069">
            <v>0</v>
          </cell>
          <cell r="X3069">
            <v>23.449999981094152</v>
          </cell>
          <cell r="Y3069">
            <v>0</v>
          </cell>
          <cell r="Z3069">
            <v>0</v>
          </cell>
        </row>
        <row r="3070">
          <cell r="C3070" t="str">
            <v>KIRKLARELİ</v>
          </cell>
          <cell r="D3070" t="str">
            <v>KIRKLARELİMERKEZ</v>
          </cell>
          <cell r="H3070" t="str">
            <v>Dağıtım-OG</v>
          </cell>
          <cell r="I3070" t="str">
            <v>Uzun</v>
          </cell>
          <cell r="J3070" t="str">
            <v>Şebeke işletmecisi</v>
          </cell>
          <cell r="K3070" t="str">
            <v>Bildirimsiz</v>
          </cell>
          <cell r="O3070">
            <v>1</v>
          </cell>
          <cell r="P3070">
            <v>632</v>
          </cell>
          <cell r="Q3070">
            <v>0</v>
          </cell>
          <cell r="R3070">
            <v>0</v>
          </cell>
          <cell r="S3070">
            <v>0</v>
          </cell>
          <cell r="T3070">
            <v>1</v>
          </cell>
          <cell r="U3070">
            <v>7.7833333401940763</v>
          </cell>
          <cell r="V3070">
            <v>4919.0666710026562</v>
          </cell>
          <cell r="W3070">
            <v>0</v>
          </cell>
          <cell r="X3070">
            <v>0</v>
          </cell>
          <cell r="Y3070">
            <v>0</v>
          </cell>
          <cell r="Z3070">
            <v>7.7833333401940763</v>
          </cell>
        </row>
        <row r="3071">
          <cell r="C3071" t="str">
            <v>TEKİRDAĞ</v>
          </cell>
          <cell r="D3071" t="str">
            <v>MALKARA</v>
          </cell>
          <cell r="H3071" t="str">
            <v>Dağıtım-OG</v>
          </cell>
          <cell r="I3071" t="str">
            <v>Uzun</v>
          </cell>
          <cell r="J3071" t="str">
            <v>Şebeke İşletmecisi</v>
          </cell>
          <cell r="K3071" t="str">
            <v>Bildirimsiz</v>
          </cell>
          <cell r="O3071">
            <v>9</v>
          </cell>
          <cell r="P3071">
            <v>216</v>
          </cell>
          <cell r="Q3071">
            <v>0</v>
          </cell>
          <cell r="R3071">
            <v>0</v>
          </cell>
          <cell r="S3071">
            <v>8</v>
          </cell>
          <cell r="T3071">
            <v>1209</v>
          </cell>
          <cell r="U3071">
            <v>70.049999967450276</v>
          </cell>
          <cell r="V3071">
            <v>1681.1999992188066</v>
          </cell>
          <cell r="W3071">
            <v>0</v>
          </cell>
          <cell r="X3071">
            <v>0</v>
          </cell>
          <cell r="Y3071">
            <v>62.266666637733579</v>
          </cell>
          <cell r="Z3071">
            <v>9410.0499956274871</v>
          </cell>
        </row>
        <row r="3072">
          <cell r="C3072" t="str">
            <v>EDİRNE</v>
          </cell>
          <cell r="D3072" t="str">
            <v>MERİÇ</v>
          </cell>
          <cell r="H3072" t="str">
            <v>Dağıtım-OG</v>
          </cell>
          <cell r="I3072" t="str">
            <v>Uzun</v>
          </cell>
          <cell r="J3072" t="str">
            <v>Şebeke İşletmecisi</v>
          </cell>
          <cell r="K3072" t="str">
            <v>Bildirimsiz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11</v>
          </cell>
          <cell r="T3072">
            <v>150</v>
          </cell>
          <cell r="U3072">
            <v>0</v>
          </cell>
          <cell r="V3072">
            <v>0</v>
          </cell>
          <cell r="W3072">
            <v>0</v>
          </cell>
          <cell r="X3072">
            <v>0</v>
          </cell>
          <cell r="Y3072">
            <v>85.616666626883671</v>
          </cell>
          <cell r="Z3072">
            <v>1167.4999994575046</v>
          </cell>
        </row>
        <row r="3073">
          <cell r="C3073" t="str">
            <v>EDİRNE</v>
          </cell>
          <cell r="D3073" t="str">
            <v>UZUNKÖPRÜ</v>
          </cell>
          <cell r="H3073" t="str">
            <v>Dağıtım-AG</v>
          </cell>
          <cell r="I3073" t="str">
            <v>Uzun</v>
          </cell>
          <cell r="J3073" t="str">
            <v>Şebeke işletmecisi</v>
          </cell>
          <cell r="K3073" t="str">
            <v>Bildirimsiz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80</v>
          </cell>
          <cell r="U3073">
            <v>0</v>
          </cell>
          <cell r="V3073">
            <v>0</v>
          </cell>
          <cell r="W3073">
            <v>0</v>
          </cell>
          <cell r="X3073">
            <v>0</v>
          </cell>
          <cell r="Y3073">
            <v>0</v>
          </cell>
          <cell r="Z3073">
            <v>621.33333357051015</v>
          </cell>
        </row>
        <row r="3074">
          <cell r="C3074" t="str">
            <v>TEKİRDAĞ</v>
          </cell>
          <cell r="D3074" t="str">
            <v>ERGENE</v>
          </cell>
          <cell r="H3074" t="str">
            <v>Dağıtım-OG</v>
          </cell>
          <cell r="I3074" t="str">
            <v>Uzun</v>
          </cell>
          <cell r="J3074" t="str">
            <v>Şebeke İşletmecisi</v>
          </cell>
          <cell r="K3074" t="str">
            <v>Bildirimsiz</v>
          </cell>
          <cell r="O3074">
            <v>4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>
            <v>30.933333314023912</v>
          </cell>
          <cell r="V3074">
            <v>0</v>
          </cell>
          <cell r="W3074">
            <v>0</v>
          </cell>
          <cell r="X3074">
            <v>0</v>
          </cell>
          <cell r="Y3074">
            <v>0</v>
          </cell>
          <cell r="Z3074">
            <v>0</v>
          </cell>
        </row>
        <row r="3075">
          <cell r="C3075" t="str">
            <v>TEKİRDAĞ</v>
          </cell>
          <cell r="D3075" t="str">
            <v>MARMARAEREĞLİSİ</v>
          </cell>
          <cell r="H3075" t="str">
            <v>Dağıtım-AG</v>
          </cell>
          <cell r="I3075" t="str">
            <v>Uzun</v>
          </cell>
          <cell r="J3075" t="str">
            <v>Şebeke işletmecisi</v>
          </cell>
          <cell r="K3075" t="str">
            <v>Bildirimsiz</v>
          </cell>
          <cell r="O3075">
            <v>0</v>
          </cell>
          <cell r="P3075">
            <v>5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38.583333342103288</v>
          </cell>
          <cell r="W3075">
            <v>0</v>
          </cell>
          <cell r="X3075">
            <v>0</v>
          </cell>
          <cell r="Y3075">
            <v>0</v>
          </cell>
          <cell r="Z3075">
            <v>0</v>
          </cell>
        </row>
        <row r="3076">
          <cell r="C3076" t="str">
            <v>TEKİRDAĞ</v>
          </cell>
          <cell r="D3076" t="str">
            <v>MARMARAEREĞLİSİ</v>
          </cell>
          <cell r="H3076" t="str">
            <v>Dağıtım-AG</v>
          </cell>
          <cell r="I3076" t="str">
            <v>Uzun</v>
          </cell>
          <cell r="J3076" t="str">
            <v>Şebeke işletmecisi</v>
          </cell>
          <cell r="K3076" t="str">
            <v>Bildirimsiz</v>
          </cell>
          <cell r="O3076">
            <v>0</v>
          </cell>
          <cell r="P3076">
            <v>0</v>
          </cell>
          <cell r="Q3076">
            <v>0</v>
          </cell>
          <cell r="R3076">
            <v>41</v>
          </cell>
          <cell r="S3076">
            <v>0</v>
          </cell>
          <cell r="T3076">
            <v>0</v>
          </cell>
          <cell r="U3076">
            <v>0</v>
          </cell>
          <cell r="V3076">
            <v>0</v>
          </cell>
          <cell r="W3076">
            <v>0</v>
          </cell>
          <cell r="X3076">
            <v>313.65000029210933</v>
          </cell>
          <cell r="Y3076">
            <v>0</v>
          </cell>
          <cell r="Z3076">
            <v>0</v>
          </cell>
        </row>
        <row r="3077">
          <cell r="C3077" t="str">
            <v>KIRKLARELİ</v>
          </cell>
          <cell r="D3077" t="str">
            <v>BABAESKİ</v>
          </cell>
          <cell r="H3077" t="str">
            <v>Dağıtım-AG</v>
          </cell>
          <cell r="I3077" t="str">
            <v>Uzun</v>
          </cell>
          <cell r="J3077" t="str">
            <v>Şebeke işletmecisi</v>
          </cell>
          <cell r="K3077" t="str">
            <v>Bildirimsiz</v>
          </cell>
          <cell r="O3077">
            <v>0</v>
          </cell>
          <cell r="P3077">
            <v>13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>
            <v>0</v>
          </cell>
          <cell r="V3077">
            <v>99.233333239099011</v>
          </cell>
          <cell r="W3077">
            <v>0</v>
          </cell>
          <cell r="X3077">
            <v>0</v>
          </cell>
          <cell r="Y3077">
            <v>0</v>
          </cell>
          <cell r="Z3077">
            <v>0</v>
          </cell>
        </row>
        <row r="3078">
          <cell r="C3078" t="str">
            <v>KIRKLARELİ</v>
          </cell>
          <cell r="D3078" t="str">
            <v>KIRKLARELİMERKEZ</v>
          </cell>
          <cell r="H3078" t="str">
            <v>Dağıtım-AG</v>
          </cell>
          <cell r="I3078" t="str">
            <v>Uzun</v>
          </cell>
          <cell r="J3078" t="str">
            <v>Şebeke işletmecisi</v>
          </cell>
          <cell r="K3078" t="str">
            <v>Bildirimsiz</v>
          </cell>
          <cell r="O3078">
            <v>0</v>
          </cell>
          <cell r="P3078">
            <v>0</v>
          </cell>
          <cell r="Q3078">
            <v>0</v>
          </cell>
          <cell r="R3078">
            <v>2</v>
          </cell>
          <cell r="S3078">
            <v>0</v>
          </cell>
          <cell r="T3078">
            <v>0</v>
          </cell>
          <cell r="U3078">
            <v>0</v>
          </cell>
          <cell r="V3078">
            <v>0</v>
          </cell>
          <cell r="W3078">
            <v>0</v>
          </cell>
          <cell r="X3078">
            <v>15.133333329576999</v>
          </cell>
          <cell r="Y3078">
            <v>0</v>
          </cell>
          <cell r="Z3078">
            <v>0</v>
          </cell>
        </row>
        <row r="3079">
          <cell r="C3079" t="str">
            <v>TEKİRDAĞ</v>
          </cell>
          <cell r="D3079" t="str">
            <v>SÜLEYMANPAŞA</v>
          </cell>
          <cell r="H3079" t="str">
            <v>Dağıtım-AG</v>
          </cell>
          <cell r="I3079" t="str">
            <v>Uzun</v>
          </cell>
          <cell r="J3079" t="str">
            <v>Şebeke işletmecisi</v>
          </cell>
          <cell r="K3079" t="str">
            <v>Bildirimsiz</v>
          </cell>
          <cell r="O3079">
            <v>0</v>
          </cell>
          <cell r="P3079">
            <v>7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52.733333338983357</v>
          </cell>
          <cell r="W3079">
            <v>0</v>
          </cell>
          <cell r="X3079">
            <v>0</v>
          </cell>
          <cell r="Y3079">
            <v>0</v>
          </cell>
          <cell r="Z3079">
            <v>0</v>
          </cell>
        </row>
        <row r="3080">
          <cell r="C3080" t="str">
            <v>KIRKLARELİ</v>
          </cell>
          <cell r="D3080" t="str">
            <v>BABAESKİ</v>
          </cell>
          <cell r="H3080" t="str">
            <v>Dağıtım-AG</v>
          </cell>
          <cell r="I3080" t="str">
            <v>Uzun</v>
          </cell>
          <cell r="J3080" t="str">
            <v>Şebeke işletmecisi</v>
          </cell>
          <cell r="K3080" t="str">
            <v>Bildirimsiz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16</v>
          </cell>
          <cell r="U3080">
            <v>0</v>
          </cell>
          <cell r="V3080">
            <v>0</v>
          </cell>
          <cell r="W3080">
            <v>0</v>
          </cell>
          <cell r="X3080">
            <v>0</v>
          </cell>
          <cell r="Y3080">
            <v>0</v>
          </cell>
          <cell r="Z3080">
            <v>119.20000003650784</v>
          </cell>
        </row>
        <row r="3081">
          <cell r="C3081" t="str">
            <v>KIRKLARELİ</v>
          </cell>
          <cell r="D3081" t="str">
            <v>BABAESKİ</v>
          </cell>
          <cell r="H3081" t="str">
            <v>Dağıtım-AG</v>
          </cell>
          <cell r="I3081" t="str">
            <v>Uzun</v>
          </cell>
          <cell r="J3081" t="str">
            <v>Şebeke işletmecisi</v>
          </cell>
          <cell r="K3081" t="str">
            <v>Bildirimsiz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66</v>
          </cell>
          <cell r="U3081">
            <v>0</v>
          </cell>
          <cell r="V3081">
            <v>0</v>
          </cell>
          <cell r="W3081">
            <v>0</v>
          </cell>
          <cell r="X3081">
            <v>0</v>
          </cell>
          <cell r="Y3081">
            <v>0</v>
          </cell>
          <cell r="Z3081">
            <v>491.70000015059486</v>
          </cell>
        </row>
        <row r="3082">
          <cell r="C3082" t="str">
            <v>TEKİRDAĞ</v>
          </cell>
          <cell r="D3082" t="str">
            <v>SÜLEYMANPAŞA</v>
          </cell>
          <cell r="H3082" t="str">
            <v>Dağıtım-OG</v>
          </cell>
          <cell r="I3082" t="str">
            <v>Uzun</v>
          </cell>
          <cell r="J3082" t="str">
            <v>Şebeke İşletmecisi</v>
          </cell>
          <cell r="K3082" t="str">
            <v>Bildirimsiz</v>
          </cell>
          <cell r="O3082">
            <v>0</v>
          </cell>
          <cell r="P3082">
            <v>611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4551.9499949924648</v>
          </cell>
          <cell r="W3082">
            <v>0</v>
          </cell>
          <cell r="X3082">
            <v>7.4499999918043613</v>
          </cell>
          <cell r="Y3082">
            <v>0</v>
          </cell>
          <cell r="Z3082">
            <v>0</v>
          </cell>
        </row>
        <row r="3083">
          <cell r="C3083" t="str">
            <v>EDİRNE</v>
          </cell>
          <cell r="D3083" t="str">
            <v>SÜLOĞLU</v>
          </cell>
          <cell r="H3083" t="str">
            <v>Dağıtım-OG</v>
          </cell>
          <cell r="I3083" t="str">
            <v>Uzun</v>
          </cell>
          <cell r="J3083" t="str">
            <v>Şebeke işletmecisi</v>
          </cell>
          <cell r="K3083" t="str">
            <v>Bildirimsiz</v>
          </cell>
          <cell r="O3083">
            <v>0</v>
          </cell>
          <cell r="P3083">
            <v>3</v>
          </cell>
          <cell r="Q3083">
            <v>0</v>
          </cell>
          <cell r="R3083">
            <v>0</v>
          </cell>
          <cell r="S3083">
            <v>0</v>
          </cell>
          <cell r="T3083">
            <v>486</v>
          </cell>
          <cell r="U3083">
            <v>0</v>
          </cell>
          <cell r="V3083">
            <v>22.349999975413084</v>
          </cell>
          <cell r="W3083">
            <v>0</v>
          </cell>
          <cell r="X3083">
            <v>0</v>
          </cell>
          <cell r="Y3083">
            <v>0</v>
          </cell>
          <cell r="Z3083">
            <v>3620.6999960169196</v>
          </cell>
        </row>
        <row r="3084">
          <cell r="C3084" t="str">
            <v>EDİRNE</v>
          </cell>
          <cell r="D3084" t="str">
            <v>EDİRNEMERKEZ</v>
          </cell>
          <cell r="H3084" t="str">
            <v>Dağıtım-OG</v>
          </cell>
          <cell r="I3084" t="str">
            <v>Uzun</v>
          </cell>
          <cell r="J3084" t="str">
            <v>Şebeke işletmecisi</v>
          </cell>
          <cell r="K3084" t="str">
            <v>Bildirimsiz</v>
          </cell>
          <cell r="O3084">
            <v>1</v>
          </cell>
          <cell r="P3084">
            <v>369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>
            <v>7.4166666716337204</v>
          </cell>
          <cell r="V3084">
            <v>2736.7500018328428</v>
          </cell>
          <cell r="W3084">
            <v>0</v>
          </cell>
          <cell r="X3084">
            <v>0</v>
          </cell>
          <cell r="Y3084">
            <v>0</v>
          </cell>
          <cell r="Z3084">
            <v>0</v>
          </cell>
        </row>
        <row r="3085">
          <cell r="C3085" t="str">
            <v>TEKİRDAĞ</v>
          </cell>
          <cell r="D3085" t="str">
            <v>SÜLEYMANPAŞA</v>
          </cell>
          <cell r="H3085" t="str">
            <v>Dağıtım-OG</v>
          </cell>
          <cell r="I3085" t="str">
            <v>Uzun</v>
          </cell>
          <cell r="J3085" t="str">
            <v>Şebeke işletmecisi</v>
          </cell>
          <cell r="K3085" t="str">
            <v>Bildirimsiz</v>
          </cell>
          <cell r="O3085">
            <v>1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7.400000001071021</v>
          </cell>
          <cell r="V3085">
            <v>0</v>
          </cell>
          <cell r="W3085">
            <v>0</v>
          </cell>
          <cell r="X3085">
            <v>0</v>
          </cell>
          <cell r="Y3085">
            <v>0</v>
          </cell>
          <cell r="Z3085">
            <v>0</v>
          </cell>
        </row>
        <row r="3086">
          <cell r="C3086" t="str">
            <v>KIRKLARELİ</v>
          </cell>
          <cell r="D3086" t="str">
            <v>KIRKLARELİMERKEZ</v>
          </cell>
          <cell r="H3086" t="str">
            <v>Dağıtım-OG</v>
          </cell>
          <cell r="I3086" t="str">
            <v>Uzun</v>
          </cell>
          <cell r="J3086" t="str">
            <v>Şebeke İşletmecisi</v>
          </cell>
          <cell r="K3086" t="str">
            <v>Bildirimsiz</v>
          </cell>
          <cell r="O3086">
            <v>9</v>
          </cell>
          <cell r="P3086">
            <v>321</v>
          </cell>
          <cell r="Q3086">
            <v>3</v>
          </cell>
          <cell r="R3086">
            <v>9</v>
          </cell>
          <cell r="S3086">
            <v>1</v>
          </cell>
          <cell r="T3086">
            <v>0</v>
          </cell>
          <cell r="U3086">
            <v>66.149999998742715</v>
          </cell>
          <cell r="V3086">
            <v>2359.3499999551568</v>
          </cell>
          <cell r="W3086">
            <v>22.049999999580905</v>
          </cell>
          <cell r="X3086">
            <v>66.149999998742715</v>
          </cell>
          <cell r="Y3086">
            <v>7.3499999998603016</v>
          </cell>
          <cell r="Z3086">
            <v>0</v>
          </cell>
        </row>
        <row r="3087">
          <cell r="C3087" t="str">
            <v>TEKİRDAĞ</v>
          </cell>
          <cell r="D3087" t="str">
            <v>SÜLEYMANPAŞA</v>
          </cell>
          <cell r="H3087" t="str">
            <v>Dağıtım-AG</v>
          </cell>
          <cell r="I3087" t="str">
            <v>Uzun</v>
          </cell>
          <cell r="J3087" t="str">
            <v>Şebeke işletmecisi</v>
          </cell>
          <cell r="K3087" t="str">
            <v>Bildirimsiz</v>
          </cell>
          <cell r="O3087">
            <v>0</v>
          </cell>
          <cell r="P3087">
            <v>48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>
            <v>0</v>
          </cell>
          <cell r="V3087">
            <v>352.79999999329448</v>
          </cell>
          <cell r="W3087">
            <v>0</v>
          </cell>
          <cell r="X3087">
            <v>0</v>
          </cell>
          <cell r="Y3087">
            <v>0</v>
          </cell>
          <cell r="Z3087">
            <v>0</v>
          </cell>
        </row>
        <row r="3088">
          <cell r="C3088" t="str">
            <v>KIRKLARELİ</v>
          </cell>
          <cell r="D3088" t="str">
            <v>BABAESKİ</v>
          </cell>
          <cell r="H3088" t="str">
            <v>Dağıtım-AG</v>
          </cell>
          <cell r="I3088" t="str">
            <v>Uzun</v>
          </cell>
          <cell r="J3088" t="str">
            <v>Şebeke işletmecisi</v>
          </cell>
          <cell r="K3088" t="str">
            <v>Bildirimsiz</v>
          </cell>
          <cell r="O3088">
            <v>0</v>
          </cell>
          <cell r="P3088">
            <v>63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>
            <v>0</v>
          </cell>
          <cell r="V3088">
            <v>462.00000040582381</v>
          </cell>
          <cell r="W3088">
            <v>0</v>
          </cell>
          <cell r="X3088">
            <v>0</v>
          </cell>
          <cell r="Y3088">
            <v>0</v>
          </cell>
          <cell r="Z3088">
            <v>0</v>
          </cell>
        </row>
        <row r="3089">
          <cell r="C3089" t="str">
            <v>TEKİRDAĞ</v>
          </cell>
          <cell r="D3089" t="str">
            <v>ÇERKEZKÖY</v>
          </cell>
          <cell r="H3089" t="str">
            <v>Dağıtım-OG</v>
          </cell>
          <cell r="I3089" t="str">
            <v>Uzun</v>
          </cell>
          <cell r="J3089" t="str">
            <v>Şebeke İşletmecisi</v>
          </cell>
          <cell r="K3089" t="str">
            <v>Bildirimsiz</v>
          </cell>
          <cell r="O3089">
            <v>2</v>
          </cell>
          <cell r="P3089">
            <v>106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  <cell r="U3089">
            <v>14.533333336003125</v>
          </cell>
          <cell r="V3089">
            <v>770.26666680816561</v>
          </cell>
          <cell r="W3089">
            <v>0</v>
          </cell>
          <cell r="X3089">
            <v>0</v>
          </cell>
          <cell r="Y3089">
            <v>0</v>
          </cell>
          <cell r="Z3089">
            <v>0</v>
          </cell>
        </row>
        <row r="3090">
          <cell r="C3090" t="str">
            <v>KIRKLARELİ</v>
          </cell>
          <cell r="D3090" t="str">
            <v>BABAESKİ</v>
          </cell>
          <cell r="H3090" t="str">
            <v>Dağıtım-OG</v>
          </cell>
          <cell r="I3090" t="str">
            <v>Uzun</v>
          </cell>
          <cell r="J3090" t="str">
            <v>Şebeke işletmecisi</v>
          </cell>
          <cell r="K3090" t="str">
            <v>Bildirimsiz</v>
          </cell>
          <cell r="O3090">
            <v>1</v>
          </cell>
          <cell r="P3090">
            <v>1</v>
          </cell>
          <cell r="Q3090">
            <v>3</v>
          </cell>
          <cell r="R3090">
            <v>1376</v>
          </cell>
          <cell r="S3090">
            <v>38</v>
          </cell>
          <cell r="T3090">
            <v>2779</v>
          </cell>
          <cell r="U3090">
            <v>7.2666666680015624</v>
          </cell>
          <cell r="V3090">
            <v>7.2666666680015624</v>
          </cell>
          <cell r="W3090">
            <v>21.800000004004687</v>
          </cell>
          <cell r="X3090">
            <v>9998.9333351701498</v>
          </cell>
          <cell r="Y3090">
            <v>276.13333338405937</v>
          </cell>
          <cell r="Z3090">
            <v>20194.066670376342</v>
          </cell>
        </row>
        <row r="3091">
          <cell r="C3091" t="str">
            <v>EDİRNE</v>
          </cell>
          <cell r="D3091" t="str">
            <v>KEŞAN</v>
          </cell>
          <cell r="H3091" t="str">
            <v>Dağıtım-OG</v>
          </cell>
          <cell r="I3091" t="str">
            <v>Uzun</v>
          </cell>
          <cell r="J3091" t="str">
            <v>Şebeke İşletmecisi</v>
          </cell>
          <cell r="K3091" t="str">
            <v>Bildirimsiz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3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>
            <v>21.750000023748726</v>
          </cell>
          <cell r="Z3091">
            <v>0</v>
          </cell>
        </row>
        <row r="3092">
          <cell r="C3092" t="str">
            <v>TEKİRDAĞ</v>
          </cell>
          <cell r="D3092" t="str">
            <v>ERGENE</v>
          </cell>
          <cell r="H3092" t="str">
            <v>Dağıtım-OG</v>
          </cell>
          <cell r="I3092" t="str">
            <v>Uzun</v>
          </cell>
          <cell r="J3092" t="str">
            <v>Şebeke İşletmecisi</v>
          </cell>
          <cell r="K3092" t="str">
            <v>Bildirimsiz</v>
          </cell>
          <cell r="O3092">
            <v>114</v>
          </cell>
          <cell r="P3092">
            <v>36164</v>
          </cell>
          <cell r="Q3092">
            <v>0</v>
          </cell>
          <cell r="R3092">
            <v>2</v>
          </cell>
          <cell r="S3092">
            <v>16</v>
          </cell>
          <cell r="T3092">
            <v>336</v>
          </cell>
          <cell r="U3092">
            <v>826.49999970803037</v>
          </cell>
          <cell r="V3092">
            <v>262188.99990737904</v>
          </cell>
          <cell r="W3092">
            <v>0</v>
          </cell>
          <cell r="X3092">
            <v>14.499999994877726</v>
          </cell>
          <cell r="Y3092">
            <v>115.99999995902181</v>
          </cell>
          <cell r="Z3092">
            <v>2435.9999991394579</v>
          </cell>
        </row>
        <row r="3093">
          <cell r="C3093" t="str">
            <v>KIRKLARELİ</v>
          </cell>
          <cell r="D3093" t="str">
            <v>VİZE</v>
          </cell>
          <cell r="H3093" t="str">
            <v>Dağıtım-AG</v>
          </cell>
          <cell r="I3093" t="str">
            <v>Uzun</v>
          </cell>
          <cell r="J3093" t="str">
            <v>Şebeke işletmecisi</v>
          </cell>
          <cell r="K3093" t="str">
            <v>Bildirimsiz</v>
          </cell>
          <cell r="O3093">
            <v>0</v>
          </cell>
          <cell r="P3093">
            <v>0</v>
          </cell>
          <cell r="Q3093">
            <v>0</v>
          </cell>
          <cell r="R3093">
            <v>103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736.4499994867947</v>
          </cell>
          <cell r="Y3093">
            <v>0</v>
          </cell>
          <cell r="Z3093">
            <v>0</v>
          </cell>
        </row>
        <row r="3094">
          <cell r="C3094" t="str">
            <v>TEKİRDAĞ</v>
          </cell>
          <cell r="D3094" t="str">
            <v>MARMARAEREĞLİSİ</v>
          </cell>
          <cell r="H3094" t="str">
            <v>Dağıtım-AG</v>
          </cell>
          <cell r="I3094" t="str">
            <v>Uzun</v>
          </cell>
          <cell r="J3094" t="str">
            <v>Şebeke İşletmecisi</v>
          </cell>
          <cell r="K3094" t="str">
            <v>Bildirimsiz</v>
          </cell>
          <cell r="O3094">
            <v>0</v>
          </cell>
          <cell r="P3094">
            <v>0</v>
          </cell>
          <cell r="Q3094">
            <v>0</v>
          </cell>
          <cell r="R3094">
            <v>21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149.45000017178245</v>
          </cell>
          <cell r="Y3094">
            <v>0</v>
          </cell>
          <cell r="Z3094">
            <v>0</v>
          </cell>
        </row>
        <row r="3095">
          <cell r="C3095" t="str">
            <v>TEKİRDAĞ</v>
          </cell>
          <cell r="D3095" t="str">
            <v>ÇORLU</v>
          </cell>
          <cell r="H3095" t="str">
            <v>Dağıtım-OG</v>
          </cell>
          <cell r="I3095" t="str">
            <v>Uzun</v>
          </cell>
          <cell r="J3095" t="str">
            <v>Şebeke İşletmecisi</v>
          </cell>
          <cell r="K3095" t="str">
            <v>Bildirimsiz</v>
          </cell>
          <cell r="O3095">
            <v>1</v>
          </cell>
          <cell r="P3095">
            <v>14</v>
          </cell>
          <cell r="Q3095">
            <v>0</v>
          </cell>
          <cell r="R3095">
            <v>0</v>
          </cell>
          <cell r="S3095">
            <v>15</v>
          </cell>
          <cell r="T3095">
            <v>2087</v>
          </cell>
          <cell r="U3095">
            <v>7.1000000042840838</v>
          </cell>
          <cell r="V3095">
            <v>99.400000059977174</v>
          </cell>
          <cell r="W3095">
            <v>0</v>
          </cell>
          <cell r="X3095">
            <v>0</v>
          </cell>
          <cell r="Y3095">
            <v>106.50000006426126</v>
          </cell>
          <cell r="Z3095">
            <v>14817.700008940883</v>
          </cell>
        </row>
        <row r="3096">
          <cell r="C3096" t="str">
            <v>KIRKLARELİ</v>
          </cell>
          <cell r="D3096" t="str">
            <v>LÜLEBURGAZ</v>
          </cell>
          <cell r="H3096" t="str">
            <v>Dağıtım-OG</v>
          </cell>
          <cell r="I3096" t="str">
            <v>Uzun</v>
          </cell>
          <cell r="J3096" t="str">
            <v>Şebeke işletmecisi</v>
          </cell>
          <cell r="K3096" t="str">
            <v>Bildirimsiz</v>
          </cell>
          <cell r="O3096">
            <v>8</v>
          </cell>
          <cell r="P3096">
            <v>17723</v>
          </cell>
          <cell r="Q3096">
            <v>0</v>
          </cell>
          <cell r="R3096">
            <v>1</v>
          </cell>
          <cell r="S3096">
            <v>1</v>
          </cell>
          <cell r="T3096">
            <v>3</v>
          </cell>
          <cell r="U3096">
            <v>56.666666669771075</v>
          </cell>
          <cell r="V3096">
            <v>125537.9166735441</v>
          </cell>
          <cell r="W3096">
            <v>0</v>
          </cell>
          <cell r="X3096">
            <v>7.0833333337213844</v>
          </cell>
          <cell r="Y3096">
            <v>7.0833333337213844</v>
          </cell>
          <cell r="Z3096">
            <v>21.250000001164153</v>
          </cell>
        </row>
        <row r="3097">
          <cell r="C3097" t="str">
            <v>KIRKLARELİ</v>
          </cell>
          <cell r="D3097" t="str">
            <v>LÜLEBURGAZ</v>
          </cell>
          <cell r="H3097" t="str">
            <v>Dağıtım-OG</v>
          </cell>
          <cell r="I3097" t="str">
            <v>Uzun</v>
          </cell>
          <cell r="J3097" t="str">
            <v>Şebeke İşletmecisi</v>
          </cell>
          <cell r="K3097" t="str">
            <v>Bildirimsiz</v>
          </cell>
          <cell r="O3097">
            <v>0</v>
          </cell>
          <cell r="P3097">
            <v>0</v>
          </cell>
          <cell r="Q3097">
            <v>6</v>
          </cell>
          <cell r="R3097">
            <v>0</v>
          </cell>
          <cell r="S3097">
            <v>8</v>
          </cell>
          <cell r="T3097">
            <v>0</v>
          </cell>
          <cell r="U3097">
            <v>0</v>
          </cell>
          <cell r="V3097">
            <v>0</v>
          </cell>
          <cell r="W3097">
            <v>42.39999997895211</v>
          </cell>
          <cell r="X3097">
            <v>0</v>
          </cell>
          <cell r="Y3097">
            <v>56.53333330526948</v>
          </cell>
          <cell r="Z3097">
            <v>0</v>
          </cell>
        </row>
        <row r="3098">
          <cell r="C3098" t="str">
            <v>TEKİRDAĞ</v>
          </cell>
          <cell r="D3098" t="str">
            <v>MALKARA</v>
          </cell>
          <cell r="H3098" t="str">
            <v>Dağıtım-AG</v>
          </cell>
          <cell r="I3098" t="str">
            <v>Uzun</v>
          </cell>
          <cell r="J3098" t="str">
            <v>Şebeke işletmecisi</v>
          </cell>
          <cell r="K3098" t="str">
            <v>Bildirimsiz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36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>
            <v>0</v>
          </cell>
          <cell r="Z3098">
            <v>252.59999983012676</v>
          </cell>
        </row>
        <row r="3099">
          <cell r="C3099" t="str">
            <v>EDİRNE</v>
          </cell>
          <cell r="D3099" t="str">
            <v>EDİRNEMERKEZ</v>
          </cell>
          <cell r="H3099" t="str">
            <v>Dağıtım-AG</v>
          </cell>
          <cell r="I3099" t="str">
            <v>Uzun</v>
          </cell>
          <cell r="J3099" t="str">
            <v>Şebeke İşletmecisi</v>
          </cell>
          <cell r="K3099" t="str">
            <v>Bildirimsiz</v>
          </cell>
          <cell r="O3099">
            <v>0</v>
          </cell>
          <cell r="P3099">
            <v>47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329.00000008754432</v>
          </cell>
          <cell r="W3099">
            <v>0</v>
          </cell>
          <cell r="X3099">
            <v>0</v>
          </cell>
          <cell r="Y3099">
            <v>0</v>
          </cell>
          <cell r="Z3099">
            <v>0</v>
          </cell>
        </row>
        <row r="3100">
          <cell r="C3100" t="str">
            <v>EDİRNE</v>
          </cell>
          <cell r="D3100" t="str">
            <v>EDİRNEMERKEZ</v>
          </cell>
          <cell r="H3100" t="str">
            <v>Dağıtım-OG</v>
          </cell>
          <cell r="I3100" t="str">
            <v>Uzun</v>
          </cell>
          <cell r="J3100" t="str">
            <v>Şebeke işletmecisi</v>
          </cell>
          <cell r="K3100" t="str">
            <v>Bildirimsiz</v>
          </cell>
          <cell r="O3100">
            <v>0</v>
          </cell>
          <cell r="P3100">
            <v>3</v>
          </cell>
          <cell r="Q3100">
            <v>0</v>
          </cell>
          <cell r="R3100">
            <v>0</v>
          </cell>
          <cell r="S3100">
            <v>0</v>
          </cell>
          <cell r="T3100">
            <v>4</v>
          </cell>
          <cell r="U3100">
            <v>0</v>
          </cell>
          <cell r="V3100">
            <v>21.000000005587935</v>
          </cell>
          <cell r="W3100">
            <v>0</v>
          </cell>
          <cell r="X3100">
            <v>0</v>
          </cell>
          <cell r="Y3100">
            <v>0</v>
          </cell>
          <cell r="Z3100">
            <v>28.000000007450581</v>
          </cell>
        </row>
        <row r="3101">
          <cell r="C3101" t="str">
            <v>KIRKLARELİ</v>
          </cell>
          <cell r="D3101" t="str">
            <v>PINARHİSAR</v>
          </cell>
          <cell r="H3101" t="str">
            <v>Dağıtım-OG</v>
          </cell>
          <cell r="I3101" t="str">
            <v>Uzun</v>
          </cell>
          <cell r="J3101" t="str">
            <v>Şebeke işletmecisi</v>
          </cell>
          <cell r="K3101" t="str">
            <v>Bildirimsiz</v>
          </cell>
          <cell r="O3101">
            <v>0</v>
          </cell>
          <cell r="P3101">
            <v>0</v>
          </cell>
          <cell r="Q3101">
            <v>6</v>
          </cell>
          <cell r="R3101">
            <v>0</v>
          </cell>
          <cell r="S3101">
            <v>13</v>
          </cell>
          <cell r="T3101">
            <v>1888</v>
          </cell>
          <cell r="U3101">
            <v>0</v>
          </cell>
          <cell r="V3101">
            <v>0</v>
          </cell>
          <cell r="W3101">
            <v>41.999999948311597</v>
          </cell>
          <cell r="X3101">
            <v>0</v>
          </cell>
          <cell r="Y3101">
            <v>90.99999988800846</v>
          </cell>
          <cell r="Z3101">
            <v>13215.999983735383</v>
          </cell>
        </row>
        <row r="3102">
          <cell r="C3102" t="str">
            <v>KIRKLARELİ</v>
          </cell>
          <cell r="D3102" t="str">
            <v>DEMİRKÖY</v>
          </cell>
          <cell r="H3102" t="str">
            <v>Dağıtım-OG</v>
          </cell>
          <cell r="I3102" t="str">
            <v>Uzun</v>
          </cell>
          <cell r="J3102" t="str">
            <v>Şebeke işletmecisi</v>
          </cell>
          <cell r="K3102" t="str">
            <v>Bildirimsiz</v>
          </cell>
          <cell r="O3102">
            <v>0</v>
          </cell>
          <cell r="P3102">
            <v>0</v>
          </cell>
          <cell r="Q3102">
            <v>1</v>
          </cell>
          <cell r="R3102">
            <v>11</v>
          </cell>
          <cell r="S3102">
            <v>3</v>
          </cell>
          <cell r="T3102">
            <v>440</v>
          </cell>
          <cell r="U3102">
            <v>0</v>
          </cell>
          <cell r="V3102">
            <v>0</v>
          </cell>
          <cell r="W3102">
            <v>6.9999999913852662</v>
          </cell>
          <cell r="X3102">
            <v>76.999999905237928</v>
          </cell>
          <cell r="Y3102">
            <v>20.999999974155799</v>
          </cell>
          <cell r="Z3102">
            <v>3079.9999962095171</v>
          </cell>
        </row>
        <row r="3103">
          <cell r="C3103" t="str">
            <v>KIRKLARELİ</v>
          </cell>
          <cell r="D3103" t="str">
            <v>KIRKLARELİMERKEZ</v>
          </cell>
          <cell r="H3103" t="str">
            <v>Dağıtım-OG</v>
          </cell>
          <cell r="I3103" t="str">
            <v>Uzun</v>
          </cell>
          <cell r="J3103" t="str">
            <v>Şebeke işletmecisi</v>
          </cell>
          <cell r="K3103" t="str">
            <v>Bildirimsiz</v>
          </cell>
          <cell r="O3103">
            <v>16</v>
          </cell>
          <cell r="P3103">
            <v>2003</v>
          </cell>
          <cell r="Q3103">
            <v>1</v>
          </cell>
          <cell r="R3103">
            <v>0</v>
          </cell>
          <cell r="S3103">
            <v>10</v>
          </cell>
          <cell r="T3103">
            <v>439</v>
          </cell>
          <cell r="U3103">
            <v>111.466666739434</v>
          </cell>
          <cell r="V3103">
            <v>13954.233342442894</v>
          </cell>
          <cell r="W3103">
            <v>6.9666666712146252</v>
          </cell>
          <cell r="X3103">
            <v>0</v>
          </cell>
          <cell r="Y3103">
            <v>69.666666712146252</v>
          </cell>
          <cell r="Z3103">
            <v>3058.3666686632205</v>
          </cell>
        </row>
        <row r="3104">
          <cell r="C3104" t="str">
            <v>KIRKLARELİ</v>
          </cell>
          <cell r="D3104" t="str">
            <v>KIRKLARELİMERKEZ</v>
          </cell>
          <cell r="H3104" t="str">
            <v>Dağıtım-AG</v>
          </cell>
          <cell r="I3104" t="str">
            <v>Uzun</v>
          </cell>
          <cell r="J3104" t="str">
            <v>Şebeke işletmecisi</v>
          </cell>
          <cell r="K3104" t="str">
            <v>Bildirimsiz</v>
          </cell>
          <cell r="O3104">
            <v>0</v>
          </cell>
          <cell r="P3104">
            <v>4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27.800000002607703</v>
          </cell>
          <cell r="W3104">
            <v>0</v>
          </cell>
          <cell r="X3104">
            <v>0</v>
          </cell>
          <cell r="Y3104">
            <v>0</v>
          </cell>
          <cell r="Z3104">
            <v>0</v>
          </cell>
        </row>
        <row r="3105">
          <cell r="C3105" t="str">
            <v>KIRKLARELİ</v>
          </cell>
          <cell r="D3105" t="str">
            <v>PEHLİVANKÖY</v>
          </cell>
          <cell r="H3105" t="str">
            <v>Dağıtım-OG</v>
          </cell>
          <cell r="I3105" t="str">
            <v>Uzun</v>
          </cell>
          <cell r="J3105" t="str">
            <v>Şebeke İşletmecisi</v>
          </cell>
          <cell r="K3105" t="str">
            <v>Bildirimsiz</v>
          </cell>
          <cell r="O3105">
            <v>0</v>
          </cell>
          <cell r="P3105">
            <v>0</v>
          </cell>
          <cell r="Q3105">
            <v>2</v>
          </cell>
          <cell r="R3105">
            <v>1285</v>
          </cell>
          <cell r="S3105">
            <v>15</v>
          </cell>
          <cell r="T3105">
            <v>628</v>
          </cell>
          <cell r="U3105">
            <v>0</v>
          </cell>
          <cell r="V3105">
            <v>0</v>
          </cell>
          <cell r="W3105">
            <v>13.900000001303852</v>
          </cell>
          <cell r="X3105">
            <v>8930.7500008377247</v>
          </cell>
          <cell r="Y3105">
            <v>104.25000000977889</v>
          </cell>
          <cell r="Z3105">
            <v>4364.6000004094094</v>
          </cell>
        </row>
        <row r="3106">
          <cell r="C3106" t="str">
            <v>KIRKLARELİ</v>
          </cell>
          <cell r="D3106" t="str">
            <v>LÜLEBURGAZ</v>
          </cell>
          <cell r="H3106" t="str">
            <v>Dağıtım-OG</v>
          </cell>
          <cell r="I3106" t="str">
            <v>Uzun</v>
          </cell>
          <cell r="J3106" t="str">
            <v>Şebeke işletmecisi</v>
          </cell>
          <cell r="K3106" t="str">
            <v>Bildirimsiz</v>
          </cell>
          <cell r="O3106">
            <v>1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6.9333333405666053</v>
          </cell>
          <cell r="V3106">
            <v>0</v>
          </cell>
          <cell r="W3106">
            <v>0</v>
          </cell>
          <cell r="X3106">
            <v>0</v>
          </cell>
          <cell r="Y3106">
            <v>0</v>
          </cell>
          <cell r="Z3106">
            <v>0</v>
          </cell>
        </row>
        <row r="3107">
          <cell r="C3107" t="str">
            <v>KIRKLARELİ</v>
          </cell>
          <cell r="D3107" t="str">
            <v>KIRKLARELİMERKEZ</v>
          </cell>
          <cell r="H3107" t="str">
            <v>Dağıtım-AG</v>
          </cell>
          <cell r="I3107" t="str">
            <v>Uzun</v>
          </cell>
          <cell r="J3107" t="str">
            <v>Şebeke işletmecisi</v>
          </cell>
          <cell r="K3107" t="str">
            <v>Bildirimsiz</v>
          </cell>
          <cell r="O3107">
            <v>0</v>
          </cell>
          <cell r="P3107">
            <v>1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>
            <v>0</v>
          </cell>
          <cell r="V3107">
            <v>6.8999999994412065</v>
          </cell>
          <cell r="W3107">
            <v>0</v>
          </cell>
          <cell r="X3107">
            <v>0</v>
          </cell>
          <cell r="Y3107">
            <v>0</v>
          </cell>
          <cell r="Z3107">
            <v>0</v>
          </cell>
        </row>
        <row r="3108">
          <cell r="C3108" t="str">
            <v>KIRKLARELİ</v>
          </cell>
          <cell r="D3108" t="str">
            <v>LÜLEBURGAZ</v>
          </cell>
          <cell r="H3108" t="str">
            <v>Dağıtım-OG</v>
          </cell>
          <cell r="I3108" t="str">
            <v>Uzun</v>
          </cell>
          <cell r="J3108" t="str">
            <v>Şebeke İşletmecisi</v>
          </cell>
          <cell r="K3108" t="str">
            <v>Bildirimsiz</v>
          </cell>
          <cell r="O3108">
            <v>92</v>
          </cell>
          <cell r="P3108">
            <v>22208</v>
          </cell>
          <cell r="Q3108">
            <v>0</v>
          </cell>
          <cell r="R3108">
            <v>1</v>
          </cell>
          <cell r="S3108">
            <v>83</v>
          </cell>
          <cell r="T3108">
            <v>2090</v>
          </cell>
          <cell r="U3108">
            <v>631.73333352897316</v>
          </cell>
          <cell r="V3108">
            <v>152494.93338055909</v>
          </cell>
          <cell r="W3108">
            <v>0</v>
          </cell>
          <cell r="X3108">
            <v>6.8666666687931865</v>
          </cell>
          <cell r="Y3108">
            <v>569.93333350983448</v>
          </cell>
          <cell r="Z3108">
            <v>14351.33333777776</v>
          </cell>
        </row>
        <row r="3109">
          <cell r="C3109" t="str">
            <v>EDİRNE</v>
          </cell>
          <cell r="D3109" t="str">
            <v>KEŞAN</v>
          </cell>
          <cell r="H3109" t="str">
            <v>Dağıtım-OG</v>
          </cell>
          <cell r="I3109" t="str">
            <v>Uzun</v>
          </cell>
          <cell r="J3109" t="str">
            <v>Şebeke işletmecisi</v>
          </cell>
          <cell r="K3109" t="str">
            <v>Bildirimsiz</v>
          </cell>
          <cell r="O3109">
            <v>0</v>
          </cell>
          <cell r="P3109">
            <v>2</v>
          </cell>
          <cell r="Q3109">
            <v>0</v>
          </cell>
          <cell r="R3109">
            <v>0</v>
          </cell>
          <cell r="S3109">
            <v>0</v>
          </cell>
          <cell r="T3109">
            <v>246</v>
          </cell>
          <cell r="U3109">
            <v>0</v>
          </cell>
          <cell r="V3109">
            <v>13.633333335164934</v>
          </cell>
          <cell r="W3109">
            <v>0</v>
          </cell>
          <cell r="X3109">
            <v>0</v>
          </cell>
          <cell r="Y3109">
            <v>0</v>
          </cell>
          <cell r="Z3109">
            <v>1676.9000002252869</v>
          </cell>
        </row>
        <row r="3110">
          <cell r="C3110" t="str">
            <v>TEKİRDAĞ</v>
          </cell>
          <cell r="D3110" t="str">
            <v>MARMARAEREĞLİSİ</v>
          </cell>
          <cell r="H3110" t="str">
            <v>Dağıtım-OG</v>
          </cell>
          <cell r="I3110" t="str">
            <v>Uzun</v>
          </cell>
          <cell r="J3110" t="str">
            <v>Şebeke İşletmecisi</v>
          </cell>
          <cell r="K3110" t="str">
            <v>Bildirimsiz</v>
          </cell>
          <cell r="O3110">
            <v>0</v>
          </cell>
          <cell r="P3110">
            <v>1041</v>
          </cell>
          <cell r="Q3110">
            <v>3</v>
          </cell>
          <cell r="R3110">
            <v>2997</v>
          </cell>
          <cell r="S3110">
            <v>0</v>
          </cell>
          <cell r="T3110">
            <v>2</v>
          </cell>
          <cell r="U3110">
            <v>0</v>
          </cell>
          <cell r="V3110">
            <v>7078.7999968975782</v>
          </cell>
          <cell r="W3110">
            <v>20.399999991059303</v>
          </cell>
          <cell r="X3110">
            <v>20379.599991068244</v>
          </cell>
          <cell r="Y3110">
            <v>0</v>
          </cell>
          <cell r="Z3110">
            <v>13.599999994039536</v>
          </cell>
        </row>
        <row r="3111">
          <cell r="C3111" t="str">
            <v>EDİRNE</v>
          </cell>
          <cell r="D3111" t="str">
            <v>EDİRNEMERKEZ</v>
          </cell>
          <cell r="H3111" t="str">
            <v>Dağıtım-OG</v>
          </cell>
          <cell r="I3111" t="str">
            <v>Uzun</v>
          </cell>
          <cell r="J3111" t="str">
            <v>Şebeke işletmecisi</v>
          </cell>
          <cell r="K3111" t="str">
            <v>Bildirimsiz</v>
          </cell>
          <cell r="O3111">
            <v>7</v>
          </cell>
          <cell r="P3111">
            <v>717</v>
          </cell>
          <cell r="Q3111">
            <v>0</v>
          </cell>
          <cell r="R3111">
            <v>0</v>
          </cell>
          <cell r="S3111">
            <v>3</v>
          </cell>
          <cell r="T3111">
            <v>102</v>
          </cell>
          <cell r="U3111">
            <v>47.366666664602235</v>
          </cell>
          <cell r="V3111">
            <v>4851.6999997885432</v>
          </cell>
          <cell r="W3111">
            <v>0</v>
          </cell>
          <cell r="X3111">
            <v>0</v>
          </cell>
          <cell r="Y3111">
            <v>20.299999999115244</v>
          </cell>
          <cell r="Z3111">
            <v>690.19999996991828</v>
          </cell>
        </row>
        <row r="3112">
          <cell r="C3112" t="str">
            <v>EDİRNE</v>
          </cell>
          <cell r="D3112" t="str">
            <v>EDİRNEMERKEZ</v>
          </cell>
          <cell r="H3112" t="str">
            <v>Dağıtım-OG</v>
          </cell>
          <cell r="I3112" t="str">
            <v>Uzun</v>
          </cell>
          <cell r="J3112" t="str">
            <v>Şebeke işletmecisi</v>
          </cell>
          <cell r="K3112" t="str">
            <v>Bildirimsiz</v>
          </cell>
          <cell r="O3112">
            <v>0</v>
          </cell>
          <cell r="P3112">
            <v>1829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  <cell r="U3112">
            <v>0</v>
          </cell>
          <cell r="V3112">
            <v>12376.233332793927</v>
          </cell>
          <cell r="W3112">
            <v>0</v>
          </cell>
          <cell r="X3112">
            <v>0</v>
          </cell>
          <cell r="Y3112">
            <v>0</v>
          </cell>
          <cell r="Z3112">
            <v>0</v>
          </cell>
        </row>
        <row r="3113">
          <cell r="C3113" t="str">
            <v>TEKİRDAĞ</v>
          </cell>
          <cell r="D3113" t="str">
            <v>SARAY</v>
          </cell>
          <cell r="H3113" t="str">
            <v>Dağıtım-AG</v>
          </cell>
          <cell r="I3113" t="str">
            <v>Uzun</v>
          </cell>
          <cell r="J3113" t="str">
            <v>Şebeke işletmecisi</v>
          </cell>
          <cell r="K3113" t="str">
            <v>Bildirimsiz</v>
          </cell>
          <cell r="O3113">
            <v>0</v>
          </cell>
          <cell r="P3113">
            <v>0</v>
          </cell>
          <cell r="Q3113">
            <v>0</v>
          </cell>
          <cell r="R3113">
            <v>13</v>
          </cell>
          <cell r="S3113">
            <v>0</v>
          </cell>
          <cell r="T3113">
            <v>0</v>
          </cell>
          <cell r="U3113">
            <v>0</v>
          </cell>
          <cell r="V3113">
            <v>0</v>
          </cell>
          <cell r="W3113">
            <v>0</v>
          </cell>
          <cell r="X3113">
            <v>87.749999945517629</v>
          </cell>
          <cell r="Y3113">
            <v>0</v>
          </cell>
          <cell r="Z3113">
            <v>0</v>
          </cell>
        </row>
        <row r="3114">
          <cell r="C3114" t="str">
            <v>TEKİRDAĞ</v>
          </cell>
          <cell r="D3114" t="str">
            <v>SARAY</v>
          </cell>
          <cell r="H3114" t="str">
            <v>Dağıtım-AG</v>
          </cell>
          <cell r="I3114" t="str">
            <v>Uzun</v>
          </cell>
          <cell r="J3114" t="str">
            <v>Şebeke işletmecisi</v>
          </cell>
          <cell r="K3114" t="str">
            <v>Bildirimsiz</v>
          </cell>
          <cell r="O3114">
            <v>0</v>
          </cell>
          <cell r="P3114">
            <v>0</v>
          </cell>
          <cell r="Q3114">
            <v>0</v>
          </cell>
          <cell r="R3114">
            <v>6</v>
          </cell>
          <cell r="S3114">
            <v>0</v>
          </cell>
          <cell r="T3114">
            <v>0</v>
          </cell>
          <cell r="U3114">
            <v>0</v>
          </cell>
          <cell r="V3114">
            <v>0</v>
          </cell>
          <cell r="W3114">
            <v>0</v>
          </cell>
          <cell r="X3114">
            <v>40.400000014342368</v>
          </cell>
          <cell r="Y3114">
            <v>0</v>
          </cell>
          <cell r="Z3114">
            <v>0</v>
          </cell>
        </row>
        <row r="3115">
          <cell r="C3115" t="str">
            <v>Kırklareli</v>
          </cell>
          <cell r="D3115" t="str">
            <v>Vize</v>
          </cell>
          <cell r="H3115" t="str">
            <v>İletim</v>
          </cell>
          <cell r="I3115" t="str">
            <v>Uzun</v>
          </cell>
          <cell r="J3115" t="str">
            <v>Şebeke İşletmecisi</v>
          </cell>
          <cell r="K3115" t="str">
            <v>Bildirimsiz</v>
          </cell>
          <cell r="O3115">
            <v>0</v>
          </cell>
          <cell r="P3115">
            <v>13</v>
          </cell>
          <cell r="Q3115">
            <v>10</v>
          </cell>
          <cell r="R3115">
            <v>0</v>
          </cell>
          <cell r="S3115">
            <v>40</v>
          </cell>
          <cell r="T3115">
            <v>2081</v>
          </cell>
          <cell r="U3115">
            <v>0</v>
          </cell>
          <cell r="V3115">
            <v>87.316666647093371</v>
          </cell>
          <cell r="W3115">
            <v>67.166666651610285</v>
          </cell>
          <cell r="X3115">
            <v>0</v>
          </cell>
          <cell r="Y3115">
            <v>268.66666660644114</v>
          </cell>
          <cell r="Z3115">
            <v>13977.3833302001</v>
          </cell>
        </row>
        <row r="3116">
          <cell r="C3116" t="str">
            <v>EDİRNE</v>
          </cell>
          <cell r="D3116" t="str">
            <v>İPSALA</v>
          </cell>
          <cell r="H3116" t="str">
            <v>Dağıtım-AG</v>
          </cell>
          <cell r="I3116" t="str">
            <v>Uzun</v>
          </cell>
          <cell r="J3116" t="str">
            <v>Şebeke işletmecisi</v>
          </cell>
          <cell r="K3116" t="str">
            <v>Bildirimsiz</v>
          </cell>
          <cell r="O3116">
            <v>0</v>
          </cell>
          <cell r="P3116">
            <v>0</v>
          </cell>
          <cell r="Q3116">
            <v>0</v>
          </cell>
          <cell r="R3116">
            <v>3</v>
          </cell>
          <cell r="S3116">
            <v>0</v>
          </cell>
          <cell r="T3116">
            <v>0</v>
          </cell>
          <cell r="U3116">
            <v>0</v>
          </cell>
          <cell r="V3116">
            <v>0</v>
          </cell>
          <cell r="W3116">
            <v>0</v>
          </cell>
          <cell r="X3116">
            <v>19.999999991850927</v>
          </cell>
          <cell r="Y3116">
            <v>0</v>
          </cell>
          <cell r="Z3116">
            <v>0</v>
          </cell>
        </row>
        <row r="3117">
          <cell r="C3117" t="str">
            <v>EDİRNE</v>
          </cell>
          <cell r="D3117" t="str">
            <v>EDİRNEMERKEZ</v>
          </cell>
          <cell r="H3117" t="str">
            <v>Dağıtım-OG</v>
          </cell>
          <cell r="I3117" t="str">
            <v>Uzun</v>
          </cell>
          <cell r="J3117" t="str">
            <v>Şebeke İşletmecisi</v>
          </cell>
          <cell r="K3117" t="str">
            <v>Bildirimsiz</v>
          </cell>
          <cell r="O3117">
            <v>0</v>
          </cell>
          <cell r="P3117">
            <v>1</v>
          </cell>
          <cell r="Q3117">
            <v>0</v>
          </cell>
          <cell r="R3117">
            <v>0</v>
          </cell>
          <cell r="S3117">
            <v>14</v>
          </cell>
          <cell r="T3117">
            <v>1293</v>
          </cell>
          <cell r="U3117">
            <v>0</v>
          </cell>
          <cell r="V3117">
            <v>6.6500000038649887</v>
          </cell>
          <cell r="W3117">
            <v>0</v>
          </cell>
          <cell r="X3117">
            <v>0</v>
          </cell>
          <cell r="Y3117">
            <v>93.100000054109842</v>
          </cell>
          <cell r="Z3117">
            <v>8598.4500049974304</v>
          </cell>
        </row>
        <row r="3118">
          <cell r="C3118" t="str">
            <v>EDİRNE</v>
          </cell>
          <cell r="D3118" t="str">
            <v>UZUNKÖPRÜ</v>
          </cell>
          <cell r="H3118" t="str">
            <v>Dağıtım-OG</v>
          </cell>
          <cell r="I3118" t="str">
            <v>Uzun</v>
          </cell>
          <cell r="J3118" t="str">
            <v>Şebeke işletmecisi</v>
          </cell>
          <cell r="K3118" t="str">
            <v>Bildirimsiz</v>
          </cell>
          <cell r="O3118">
            <v>8</v>
          </cell>
          <cell r="P3118">
            <v>137</v>
          </cell>
          <cell r="Q3118">
            <v>0</v>
          </cell>
          <cell r="R3118">
            <v>0</v>
          </cell>
          <cell r="S3118">
            <v>37</v>
          </cell>
          <cell r="T3118">
            <v>1925</v>
          </cell>
          <cell r="U3118">
            <v>53.199999947100878</v>
          </cell>
          <cell r="V3118">
            <v>911.04999909410253</v>
          </cell>
          <cell r="W3118">
            <v>0</v>
          </cell>
          <cell r="X3118">
            <v>0</v>
          </cell>
          <cell r="Y3118">
            <v>246.04999975534156</v>
          </cell>
          <cell r="Z3118">
            <v>12801.249987271149</v>
          </cell>
        </row>
        <row r="3119">
          <cell r="C3119" t="str">
            <v>TEKİRDAĞ</v>
          </cell>
          <cell r="D3119" t="str">
            <v>HAYRABOLU</v>
          </cell>
          <cell r="H3119" t="str">
            <v>Dağıtım-OG</v>
          </cell>
          <cell r="I3119" t="str">
            <v>Uzun</v>
          </cell>
          <cell r="J3119" t="str">
            <v>Şebeke işletmecisi</v>
          </cell>
          <cell r="K3119" t="str">
            <v>Bildirimli</v>
          </cell>
          <cell r="O3119">
            <v>0</v>
          </cell>
          <cell r="P3119">
            <v>2</v>
          </cell>
          <cell r="Q3119">
            <v>0</v>
          </cell>
          <cell r="R3119">
            <v>2</v>
          </cell>
          <cell r="S3119">
            <v>15</v>
          </cell>
          <cell r="T3119">
            <v>2209</v>
          </cell>
          <cell r="U3119">
            <v>0</v>
          </cell>
          <cell r="V3119">
            <v>13.266666666604578</v>
          </cell>
          <cell r="W3119">
            <v>0</v>
          </cell>
          <cell r="X3119">
            <v>13.266666666604578</v>
          </cell>
          <cell r="Y3119">
            <v>99.499999999534339</v>
          </cell>
          <cell r="Z3119">
            <v>14653.033333264757</v>
          </cell>
        </row>
        <row r="3120">
          <cell r="C3120" t="str">
            <v>EDİRNE</v>
          </cell>
          <cell r="D3120" t="str">
            <v>UZUNKÖPRÜ</v>
          </cell>
          <cell r="H3120" t="str">
            <v>Dağıtım-AG</v>
          </cell>
          <cell r="I3120" t="str">
            <v>Uzun</v>
          </cell>
          <cell r="J3120" t="str">
            <v>Şebeke işletmecisi</v>
          </cell>
          <cell r="K3120" t="str">
            <v>Bildirimsiz</v>
          </cell>
          <cell r="O3120">
            <v>0</v>
          </cell>
          <cell r="P3120">
            <v>9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  <cell r="U3120">
            <v>0</v>
          </cell>
          <cell r="V3120">
            <v>59.699999999720603</v>
          </cell>
          <cell r="W3120">
            <v>0</v>
          </cell>
          <cell r="X3120">
            <v>0</v>
          </cell>
          <cell r="Y3120">
            <v>0</v>
          </cell>
          <cell r="Z3120">
            <v>0</v>
          </cell>
        </row>
        <row r="3121">
          <cell r="C3121" t="str">
            <v>KIRKLARELİ</v>
          </cell>
          <cell r="D3121" t="str">
            <v>KIRKLARELİMERKEZ</v>
          </cell>
          <cell r="H3121" t="str">
            <v>Dağıtım-OG</v>
          </cell>
          <cell r="I3121" t="str">
            <v>Uzun</v>
          </cell>
          <cell r="J3121" t="str">
            <v>Şebeke İşletmecisi</v>
          </cell>
          <cell r="K3121" t="str">
            <v>Bildirimsiz</v>
          </cell>
          <cell r="O3121">
            <v>1</v>
          </cell>
          <cell r="P3121">
            <v>0</v>
          </cell>
          <cell r="Q3121">
            <v>6</v>
          </cell>
          <cell r="R3121">
            <v>166</v>
          </cell>
          <cell r="S3121">
            <v>35</v>
          </cell>
          <cell r="T3121">
            <v>1277</v>
          </cell>
          <cell r="U3121">
            <v>6.5833333320915699</v>
          </cell>
          <cell r="V3121">
            <v>0</v>
          </cell>
          <cell r="W3121">
            <v>39.499999992549419</v>
          </cell>
          <cell r="X3121">
            <v>1092.8333331272006</v>
          </cell>
          <cell r="Y3121">
            <v>230.41666662320495</v>
          </cell>
          <cell r="Z3121">
            <v>8406.9166650809348</v>
          </cell>
        </row>
        <row r="3122">
          <cell r="C3122" t="str">
            <v>TEKİRDAĞ</v>
          </cell>
          <cell r="D3122" t="str">
            <v>HAYRABOLU</v>
          </cell>
          <cell r="H3122" t="str">
            <v>Dağıtım-OG</v>
          </cell>
          <cell r="I3122" t="str">
            <v>Uzun</v>
          </cell>
          <cell r="J3122" t="str">
            <v>Şebeke işletmecisi</v>
          </cell>
          <cell r="K3122" t="str">
            <v>Bildirimli</v>
          </cell>
          <cell r="O3122">
            <v>0</v>
          </cell>
          <cell r="P3122">
            <v>2</v>
          </cell>
          <cell r="Q3122">
            <v>0</v>
          </cell>
          <cell r="R3122">
            <v>2</v>
          </cell>
          <cell r="S3122">
            <v>15</v>
          </cell>
          <cell r="T3122">
            <v>2209</v>
          </cell>
          <cell r="U3122">
            <v>0</v>
          </cell>
          <cell r="V3122">
            <v>13.16666666418314</v>
          </cell>
          <cell r="W3122">
            <v>0</v>
          </cell>
          <cell r="X3122">
            <v>13.16666666418314</v>
          </cell>
          <cell r="Y3122">
            <v>98.749999981373549</v>
          </cell>
          <cell r="Z3122">
            <v>14542.583330590278</v>
          </cell>
        </row>
        <row r="3123">
          <cell r="C3123" t="str">
            <v>TEKİRDAĞ</v>
          </cell>
          <cell r="D3123" t="str">
            <v>MARMARAEREĞLİSİ</v>
          </cell>
          <cell r="H3123" t="str">
            <v>Dağıtım-OG</v>
          </cell>
          <cell r="I3123" t="str">
            <v>Uzun</v>
          </cell>
          <cell r="J3123" t="str">
            <v>Şebeke İşletmecisi</v>
          </cell>
          <cell r="K3123" t="str">
            <v>Bildirimsiz</v>
          </cell>
          <cell r="O3123">
            <v>0</v>
          </cell>
          <cell r="P3123">
            <v>3</v>
          </cell>
          <cell r="Q3123">
            <v>14</v>
          </cell>
          <cell r="R3123">
            <v>2983</v>
          </cell>
          <cell r="S3123">
            <v>0</v>
          </cell>
          <cell r="T3123">
            <v>0</v>
          </cell>
          <cell r="U3123">
            <v>0</v>
          </cell>
          <cell r="V3123">
            <v>19.600000024074689</v>
          </cell>
          <cell r="W3123">
            <v>91.466666779015213</v>
          </cell>
          <cell r="X3123">
            <v>19488.933357271599</v>
          </cell>
          <cell r="Y3123">
            <v>0</v>
          </cell>
          <cell r="Z3123">
            <v>0</v>
          </cell>
        </row>
        <row r="3124">
          <cell r="C3124" t="str">
            <v>TEKİRDAĞ</v>
          </cell>
          <cell r="D3124" t="str">
            <v>MARMARAEREĞLİSİ</v>
          </cell>
          <cell r="H3124" t="str">
            <v>Dağıtım-AG</v>
          </cell>
          <cell r="I3124" t="str">
            <v>Uzun</v>
          </cell>
          <cell r="J3124" t="str">
            <v>Şebeke işletmecisi</v>
          </cell>
          <cell r="K3124" t="str">
            <v>Bildirimsiz</v>
          </cell>
          <cell r="O3124">
            <v>0</v>
          </cell>
          <cell r="P3124">
            <v>0</v>
          </cell>
          <cell r="Q3124">
            <v>0</v>
          </cell>
          <cell r="R3124">
            <v>16</v>
          </cell>
          <cell r="S3124">
            <v>0</v>
          </cell>
          <cell r="T3124">
            <v>0</v>
          </cell>
          <cell r="U3124">
            <v>0</v>
          </cell>
          <cell r="V3124">
            <v>0</v>
          </cell>
          <cell r="W3124">
            <v>0</v>
          </cell>
          <cell r="X3124">
            <v>104.53333329409361</v>
          </cell>
          <cell r="Y3124">
            <v>0</v>
          </cell>
          <cell r="Z3124">
            <v>0</v>
          </cell>
        </row>
        <row r="3125">
          <cell r="C3125" t="str">
            <v>TEKİRDAĞ</v>
          </cell>
          <cell r="D3125" t="str">
            <v>KAPAKLI</v>
          </cell>
          <cell r="H3125" t="str">
            <v>Dağıtım-AG</v>
          </cell>
          <cell r="I3125" t="str">
            <v>Uzun</v>
          </cell>
          <cell r="J3125" t="str">
            <v>Dışsal</v>
          </cell>
          <cell r="K3125" t="str">
            <v>Bildirimsiz</v>
          </cell>
          <cell r="O3125">
            <v>0</v>
          </cell>
          <cell r="P3125">
            <v>172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  <cell r="U3125">
            <v>0</v>
          </cell>
          <cell r="V3125">
            <v>1118.0000000400469</v>
          </cell>
          <cell r="W3125">
            <v>0</v>
          </cell>
          <cell r="X3125">
            <v>0</v>
          </cell>
          <cell r="Y3125">
            <v>0</v>
          </cell>
          <cell r="Z3125">
            <v>0</v>
          </cell>
        </row>
        <row r="3126">
          <cell r="C3126" t="str">
            <v>EDİRNE</v>
          </cell>
          <cell r="D3126" t="str">
            <v>UZUNKÖPRÜ</v>
          </cell>
          <cell r="H3126" t="str">
            <v>Dağıtım-OG</v>
          </cell>
          <cell r="I3126" t="str">
            <v>Uzun</v>
          </cell>
          <cell r="J3126" t="str">
            <v>Şebeke işletmecisi</v>
          </cell>
          <cell r="K3126" t="str">
            <v>Bildirimsiz</v>
          </cell>
          <cell r="O3126">
            <v>19</v>
          </cell>
          <cell r="P3126">
            <v>0</v>
          </cell>
          <cell r="Q3126">
            <v>0</v>
          </cell>
          <cell r="R3126">
            <v>0</v>
          </cell>
          <cell r="S3126">
            <v>35</v>
          </cell>
          <cell r="T3126">
            <v>434</v>
          </cell>
          <cell r="U3126">
            <v>123.50000000442378</v>
          </cell>
          <cell r="V3126">
            <v>0</v>
          </cell>
          <cell r="W3126">
            <v>0</v>
          </cell>
          <cell r="X3126">
            <v>0</v>
          </cell>
          <cell r="Y3126">
            <v>227.50000000814907</v>
          </cell>
          <cell r="Z3126">
            <v>2821.0000001010485</v>
          </cell>
        </row>
        <row r="3127">
          <cell r="C3127" t="str">
            <v>EDİRNE</v>
          </cell>
          <cell r="D3127" t="str">
            <v>UZUNKÖPRÜ</v>
          </cell>
          <cell r="H3127" t="str">
            <v>Dağıtım-OG</v>
          </cell>
          <cell r="I3127" t="str">
            <v>Uzun</v>
          </cell>
          <cell r="J3127" t="str">
            <v>Şebeke İşletmecisi</v>
          </cell>
          <cell r="K3127" t="str">
            <v>Bildirimsiz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19</v>
          </cell>
          <cell r="T3127">
            <v>303</v>
          </cell>
          <cell r="U3127">
            <v>0</v>
          </cell>
          <cell r="V3127">
            <v>0</v>
          </cell>
          <cell r="W3127">
            <v>0</v>
          </cell>
          <cell r="X3127">
            <v>0</v>
          </cell>
          <cell r="Y3127">
            <v>122.23333343979903</v>
          </cell>
          <cell r="Z3127">
            <v>1949.3000016978476</v>
          </cell>
        </row>
        <row r="3128">
          <cell r="C3128" t="str">
            <v>EDİRNE</v>
          </cell>
          <cell r="D3128" t="str">
            <v>KEŞAN</v>
          </cell>
          <cell r="H3128" t="str">
            <v>Dağıtım-OG</v>
          </cell>
          <cell r="I3128" t="str">
            <v>Uzun</v>
          </cell>
          <cell r="J3128" t="str">
            <v>Şebeke işletmecisi</v>
          </cell>
          <cell r="K3128" t="str">
            <v>Bildirimsiz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125</v>
          </cell>
          <cell r="U3128">
            <v>0</v>
          </cell>
          <cell r="V3128">
            <v>0</v>
          </cell>
          <cell r="W3128">
            <v>0</v>
          </cell>
          <cell r="X3128">
            <v>0</v>
          </cell>
          <cell r="Y3128">
            <v>0</v>
          </cell>
          <cell r="Z3128">
            <v>804.16666736709885</v>
          </cell>
        </row>
        <row r="3129">
          <cell r="C3129" t="str">
            <v>TEKİRDAĞ</v>
          </cell>
          <cell r="D3129" t="str">
            <v>MARMARAEREĞLİSİ</v>
          </cell>
          <cell r="H3129" t="str">
            <v>Dağıtım-AG</v>
          </cell>
          <cell r="I3129" t="str">
            <v>Uzun</v>
          </cell>
          <cell r="J3129" t="str">
            <v>Şebeke işletmecisi</v>
          </cell>
          <cell r="K3129" t="str">
            <v>Bildirimsiz</v>
          </cell>
          <cell r="O3129">
            <v>0</v>
          </cell>
          <cell r="P3129">
            <v>5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  <cell r="U3129">
            <v>0</v>
          </cell>
          <cell r="V3129">
            <v>32.000000041443855</v>
          </cell>
          <cell r="W3129">
            <v>0</v>
          </cell>
          <cell r="X3129">
            <v>0</v>
          </cell>
          <cell r="Y3129">
            <v>0</v>
          </cell>
          <cell r="Z3129">
            <v>0</v>
          </cell>
        </row>
        <row r="3130">
          <cell r="C3130" t="str">
            <v>TEKİRDAĞ</v>
          </cell>
          <cell r="D3130" t="str">
            <v>ERGENE</v>
          </cell>
          <cell r="H3130" t="str">
            <v>Dağıtım-OG</v>
          </cell>
          <cell r="I3130" t="str">
            <v>Uzun</v>
          </cell>
          <cell r="J3130" t="str">
            <v>Şebeke İşletmecisi</v>
          </cell>
          <cell r="K3130" t="str">
            <v>Bildirimsiz</v>
          </cell>
          <cell r="O3130">
            <v>3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>
            <v>19.199999993434176</v>
          </cell>
          <cell r="V3130">
            <v>0</v>
          </cell>
          <cell r="W3130">
            <v>0</v>
          </cell>
          <cell r="X3130">
            <v>0</v>
          </cell>
          <cell r="Y3130">
            <v>0</v>
          </cell>
          <cell r="Z3130">
            <v>0</v>
          </cell>
        </row>
        <row r="3131">
          <cell r="C3131" t="str">
            <v>KIRKLARELİ</v>
          </cell>
          <cell r="D3131" t="str">
            <v>LÜLEBURGAZ</v>
          </cell>
          <cell r="H3131" t="str">
            <v>Dağıtım-OG</v>
          </cell>
          <cell r="I3131" t="str">
            <v>Uzun</v>
          </cell>
          <cell r="J3131" t="str">
            <v>Şebeke işletmecisi</v>
          </cell>
          <cell r="K3131" t="str">
            <v>Bildirimsiz</v>
          </cell>
          <cell r="O3131">
            <v>3</v>
          </cell>
          <cell r="P3131">
            <v>0</v>
          </cell>
          <cell r="Q3131">
            <v>0</v>
          </cell>
          <cell r="R3131">
            <v>1</v>
          </cell>
          <cell r="S3131">
            <v>10</v>
          </cell>
          <cell r="T3131">
            <v>346</v>
          </cell>
          <cell r="U3131">
            <v>19.199999993434176</v>
          </cell>
          <cell r="V3131">
            <v>0</v>
          </cell>
          <cell r="W3131">
            <v>0</v>
          </cell>
          <cell r="X3131">
            <v>6.3999999978113919</v>
          </cell>
          <cell r="Y3131">
            <v>63.999999978113919</v>
          </cell>
          <cell r="Z3131">
            <v>2214.3999992427416</v>
          </cell>
        </row>
        <row r="3132">
          <cell r="C3132" t="str">
            <v>EDİRNE</v>
          </cell>
          <cell r="D3132" t="str">
            <v>EDİRNEMERKEZ</v>
          </cell>
          <cell r="H3132" t="str">
            <v>Dağıtım-AG</v>
          </cell>
          <cell r="I3132" t="str">
            <v>Uzun</v>
          </cell>
          <cell r="J3132" t="str">
            <v>Şebeke işletmecisi</v>
          </cell>
          <cell r="K3132" t="str">
            <v>Bildirimsiz</v>
          </cell>
          <cell r="O3132">
            <v>0</v>
          </cell>
          <cell r="P3132">
            <v>5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31.83333333581686</v>
          </cell>
          <cell r="W3132">
            <v>0</v>
          </cell>
          <cell r="X3132">
            <v>0</v>
          </cell>
          <cell r="Y3132">
            <v>0</v>
          </cell>
          <cell r="Z3132">
            <v>0</v>
          </cell>
        </row>
        <row r="3133">
          <cell r="C3133" t="str">
            <v>TEKİRDAĞ</v>
          </cell>
          <cell r="D3133" t="str">
            <v>KAPAKLI</v>
          </cell>
          <cell r="H3133" t="str">
            <v>Dağıtım-AG</v>
          </cell>
          <cell r="I3133" t="str">
            <v>Uzun</v>
          </cell>
          <cell r="J3133" t="str">
            <v>Şebeke işletmecisi</v>
          </cell>
          <cell r="K3133" t="str">
            <v>Bildirimsiz</v>
          </cell>
          <cell r="O3133">
            <v>0</v>
          </cell>
          <cell r="P3133">
            <v>4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25.466666668653488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</row>
        <row r="3134">
          <cell r="C3134" t="str">
            <v>EDİRNE</v>
          </cell>
          <cell r="D3134" t="str">
            <v>LALAPAŞA</v>
          </cell>
          <cell r="H3134" t="str">
            <v>Dağıtım-OG</v>
          </cell>
          <cell r="I3134" t="str">
            <v>Uzun</v>
          </cell>
          <cell r="J3134" t="str">
            <v>Şebeke İşletmecisi</v>
          </cell>
          <cell r="K3134" t="str">
            <v>Bildirimsiz</v>
          </cell>
          <cell r="O3134">
            <v>0</v>
          </cell>
          <cell r="P3134">
            <v>0</v>
          </cell>
          <cell r="Q3134">
            <v>0</v>
          </cell>
          <cell r="R3134">
            <v>1</v>
          </cell>
          <cell r="S3134">
            <v>41</v>
          </cell>
          <cell r="T3134">
            <v>1491</v>
          </cell>
          <cell r="U3134">
            <v>0</v>
          </cell>
          <cell r="V3134">
            <v>0</v>
          </cell>
          <cell r="W3134">
            <v>0</v>
          </cell>
          <cell r="X3134">
            <v>6.3499999966006726</v>
          </cell>
          <cell r="Y3134">
            <v>260.34999986062758</v>
          </cell>
          <cell r="Z3134">
            <v>9467.8499949316029</v>
          </cell>
        </row>
        <row r="3135">
          <cell r="C3135" t="str">
            <v>EDİRNE</v>
          </cell>
          <cell r="D3135" t="str">
            <v>MERİÇ</v>
          </cell>
          <cell r="H3135" t="str">
            <v>Dağıtım-OG</v>
          </cell>
          <cell r="I3135" t="str">
            <v>Uzun</v>
          </cell>
          <cell r="J3135" t="str">
            <v>Şebeke İşletmecisi</v>
          </cell>
          <cell r="K3135" t="str">
            <v>Bildirimsiz</v>
          </cell>
          <cell r="O3135">
            <v>0</v>
          </cell>
          <cell r="P3135">
            <v>0</v>
          </cell>
          <cell r="Q3135">
            <v>4</v>
          </cell>
          <cell r="R3135">
            <v>0</v>
          </cell>
          <cell r="S3135">
            <v>14</v>
          </cell>
          <cell r="T3135">
            <v>471</v>
          </cell>
          <cell r="U3135">
            <v>0</v>
          </cell>
          <cell r="V3135">
            <v>0</v>
          </cell>
          <cell r="W3135">
            <v>25.200000023469329</v>
          </cell>
          <cell r="X3135">
            <v>0</v>
          </cell>
          <cell r="Y3135">
            <v>88.200000082142651</v>
          </cell>
          <cell r="Z3135">
            <v>2967.3000027635135</v>
          </cell>
        </row>
        <row r="3136">
          <cell r="C3136" t="str">
            <v>TEKİRDAĞ</v>
          </cell>
          <cell r="D3136" t="str">
            <v>ŞARKÖY</v>
          </cell>
          <cell r="H3136" t="str">
            <v>Dağıtım-OG</v>
          </cell>
          <cell r="I3136" t="str">
            <v>Uzun</v>
          </cell>
          <cell r="J3136" t="str">
            <v>Şebeke işletmecisi</v>
          </cell>
          <cell r="K3136" t="str">
            <v>Bildirimsiz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4</v>
          </cell>
          <cell r="T3136">
            <v>210</v>
          </cell>
          <cell r="U3136">
            <v>0</v>
          </cell>
          <cell r="V3136">
            <v>0</v>
          </cell>
          <cell r="W3136">
            <v>0</v>
          </cell>
          <cell r="X3136">
            <v>0</v>
          </cell>
          <cell r="Y3136">
            <v>25.199999981559813</v>
          </cell>
          <cell r="Z3136">
            <v>1322.9999990318902</v>
          </cell>
        </row>
        <row r="3137">
          <cell r="C3137" t="str">
            <v>EDİRNE</v>
          </cell>
          <cell r="D3137" t="str">
            <v>KEŞAN</v>
          </cell>
          <cell r="H3137" t="str">
            <v>Dağıtım-AG</v>
          </cell>
          <cell r="I3137" t="str">
            <v>Uzun</v>
          </cell>
          <cell r="J3137" t="str">
            <v>Şebeke işletmecisi</v>
          </cell>
          <cell r="K3137" t="str">
            <v>Bildirimsiz</v>
          </cell>
          <cell r="O3137">
            <v>0</v>
          </cell>
          <cell r="P3137">
            <v>24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  <cell r="U3137">
            <v>0</v>
          </cell>
          <cell r="V3137">
            <v>150.80000004731119</v>
          </cell>
          <cell r="W3137">
            <v>0</v>
          </cell>
          <cell r="X3137">
            <v>0</v>
          </cell>
          <cell r="Y3137">
            <v>0</v>
          </cell>
          <cell r="Z3137">
            <v>0</v>
          </cell>
        </row>
        <row r="3138">
          <cell r="C3138" t="str">
            <v>KIRKLARELİ</v>
          </cell>
          <cell r="D3138" t="str">
            <v>LÜLEBURGAZ</v>
          </cell>
          <cell r="H3138" t="str">
            <v>Dağıtım-AG</v>
          </cell>
          <cell r="I3138" t="str">
            <v>Uzun</v>
          </cell>
          <cell r="J3138" t="str">
            <v>Şebeke işletmecisi</v>
          </cell>
          <cell r="K3138" t="str">
            <v>Bildirimsiz</v>
          </cell>
          <cell r="O3138">
            <v>0</v>
          </cell>
          <cell r="P3138">
            <v>1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  <cell r="U3138">
            <v>0</v>
          </cell>
          <cell r="V3138">
            <v>6.2666666647419333</v>
          </cell>
          <cell r="W3138">
            <v>0</v>
          </cell>
          <cell r="X3138">
            <v>0</v>
          </cell>
          <cell r="Y3138">
            <v>0</v>
          </cell>
          <cell r="Z3138">
            <v>0</v>
          </cell>
        </row>
        <row r="3139">
          <cell r="C3139" t="str">
            <v>EDİRNE</v>
          </cell>
          <cell r="D3139" t="str">
            <v>EDİRNEMERKEZ</v>
          </cell>
          <cell r="H3139" t="str">
            <v>Dağıtım-OG</v>
          </cell>
          <cell r="I3139" t="str">
            <v>Uzun</v>
          </cell>
          <cell r="J3139" t="str">
            <v>Şebeke İşletmecisi</v>
          </cell>
          <cell r="K3139" t="str">
            <v>Bildirimsiz</v>
          </cell>
          <cell r="O3139">
            <v>2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  <cell r="U3139">
            <v>12.533333329483867</v>
          </cell>
          <cell r="V3139">
            <v>0</v>
          </cell>
          <cell r="W3139">
            <v>0</v>
          </cell>
          <cell r="X3139">
            <v>0</v>
          </cell>
          <cell r="Y3139">
            <v>0</v>
          </cell>
          <cell r="Z3139">
            <v>0</v>
          </cell>
        </row>
        <row r="3140">
          <cell r="C3140" t="str">
            <v>KIRKLARELİ</v>
          </cell>
          <cell r="D3140" t="str">
            <v>KIRKLARELİMERKEZ</v>
          </cell>
          <cell r="H3140" t="str">
            <v>Dağıtım-OG</v>
          </cell>
          <cell r="I3140" t="str">
            <v>Uzun</v>
          </cell>
          <cell r="J3140" t="str">
            <v>Şebeke İşletmecisi</v>
          </cell>
          <cell r="K3140" t="str">
            <v>Bildirimsiz</v>
          </cell>
          <cell r="O3140">
            <v>4</v>
          </cell>
          <cell r="P3140">
            <v>0</v>
          </cell>
          <cell r="Q3140">
            <v>0</v>
          </cell>
          <cell r="R3140">
            <v>0</v>
          </cell>
          <cell r="S3140">
            <v>10</v>
          </cell>
          <cell r="T3140">
            <v>1</v>
          </cell>
          <cell r="U3140">
            <v>25.066666658967733</v>
          </cell>
          <cell r="V3140">
            <v>0</v>
          </cell>
          <cell r="W3140">
            <v>0</v>
          </cell>
          <cell r="X3140">
            <v>0</v>
          </cell>
          <cell r="Y3140">
            <v>62.666666647419333</v>
          </cell>
          <cell r="Z3140">
            <v>6.2666666647419333</v>
          </cell>
        </row>
        <row r="3141">
          <cell r="C3141" t="str">
            <v>KIRKLARELİ</v>
          </cell>
          <cell r="D3141" t="str">
            <v>PINARHİSAR</v>
          </cell>
          <cell r="H3141" t="str">
            <v>Dağıtım-OG</v>
          </cell>
          <cell r="I3141" t="str">
            <v>Uzun</v>
          </cell>
          <cell r="J3141" t="str">
            <v>Şebeke İşletmecisi</v>
          </cell>
          <cell r="K3141" t="str">
            <v>Bildirimsiz</v>
          </cell>
          <cell r="O3141">
            <v>0</v>
          </cell>
          <cell r="P3141">
            <v>0</v>
          </cell>
          <cell r="Q3141">
            <v>6</v>
          </cell>
          <cell r="R3141">
            <v>0</v>
          </cell>
          <cell r="S3141">
            <v>15</v>
          </cell>
          <cell r="T3141">
            <v>1888</v>
          </cell>
          <cell r="U3141">
            <v>0</v>
          </cell>
          <cell r="V3141">
            <v>0</v>
          </cell>
          <cell r="W3141">
            <v>37.400000004563481</v>
          </cell>
          <cell r="X3141">
            <v>0</v>
          </cell>
          <cell r="Y3141">
            <v>93.500000011408702</v>
          </cell>
          <cell r="Z3141">
            <v>11768.533334769309</v>
          </cell>
        </row>
        <row r="3142">
          <cell r="C3142" t="str">
            <v>EDİRNE</v>
          </cell>
          <cell r="D3142" t="str">
            <v>EDİRNEMERKEZ</v>
          </cell>
          <cell r="H3142" t="str">
            <v>Dağıtım-AG</v>
          </cell>
          <cell r="I3142" t="str">
            <v>Uzun</v>
          </cell>
          <cell r="J3142" t="str">
            <v>Şebeke işletmecisi</v>
          </cell>
          <cell r="K3142" t="str">
            <v>Bildirimsiz</v>
          </cell>
          <cell r="O3142">
            <v>0</v>
          </cell>
          <cell r="P3142">
            <v>881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  <cell r="U3142">
            <v>0</v>
          </cell>
          <cell r="V3142">
            <v>5432.8333295043558</v>
          </cell>
          <cell r="W3142">
            <v>0</v>
          </cell>
          <cell r="X3142">
            <v>0</v>
          </cell>
          <cell r="Y3142">
            <v>0</v>
          </cell>
          <cell r="Z3142">
            <v>0</v>
          </cell>
        </row>
        <row r="3143">
          <cell r="C3143" t="str">
            <v>EDİRNE</v>
          </cell>
          <cell r="D3143" t="str">
            <v>UZUNKÖPRÜ</v>
          </cell>
          <cell r="H3143" t="str">
            <v>Dağıtım-OG</v>
          </cell>
          <cell r="I3143" t="str">
            <v>Uzun</v>
          </cell>
          <cell r="J3143" t="str">
            <v>Şebeke İşletmecisi</v>
          </cell>
          <cell r="K3143" t="str">
            <v>Bildirimsiz</v>
          </cell>
          <cell r="O3143">
            <v>6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54</v>
          </cell>
          <cell r="U3143">
            <v>36.900000013411045</v>
          </cell>
          <cell r="V3143">
            <v>0</v>
          </cell>
          <cell r="W3143">
            <v>0</v>
          </cell>
          <cell r="X3143">
            <v>0</v>
          </cell>
          <cell r="Y3143">
            <v>0</v>
          </cell>
          <cell r="Z3143">
            <v>332.10000012069941</v>
          </cell>
        </row>
        <row r="3144">
          <cell r="C3144" t="str">
            <v>EDİRNE</v>
          </cell>
          <cell r="D3144" t="str">
            <v>UZUNKÖPRÜ</v>
          </cell>
          <cell r="H3144" t="str">
            <v>Dağıtım-OG</v>
          </cell>
          <cell r="I3144" t="str">
            <v>Uzun</v>
          </cell>
          <cell r="J3144" t="str">
            <v>Şebeke işletmecisi</v>
          </cell>
          <cell r="K3144" t="str">
            <v>Bildirimsiz</v>
          </cell>
          <cell r="O3144">
            <v>4</v>
          </cell>
          <cell r="P3144">
            <v>1</v>
          </cell>
          <cell r="Q3144">
            <v>1</v>
          </cell>
          <cell r="R3144">
            <v>0</v>
          </cell>
          <cell r="S3144">
            <v>0</v>
          </cell>
          <cell r="T3144">
            <v>0</v>
          </cell>
          <cell r="U3144">
            <v>24.533333326689899</v>
          </cell>
          <cell r="V3144">
            <v>6.1333333316724747</v>
          </cell>
          <cell r="W3144">
            <v>6.1333333316724747</v>
          </cell>
          <cell r="X3144">
            <v>0</v>
          </cell>
          <cell r="Y3144">
            <v>0</v>
          </cell>
          <cell r="Z3144">
            <v>0</v>
          </cell>
        </row>
        <row r="3145">
          <cell r="C3145" t="str">
            <v>KIRKLARELİ</v>
          </cell>
          <cell r="D3145" t="str">
            <v>LÜLEBURGAZ</v>
          </cell>
          <cell r="H3145" t="str">
            <v>Dağıtım-OG</v>
          </cell>
          <cell r="I3145" t="str">
            <v>Uzun</v>
          </cell>
          <cell r="J3145" t="str">
            <v>Şebeke İşletmecisi</v>
          </cell>
          <cell r="K3145" t="str">
            <v>Bildirimsiz</v>
          </cell>
          <cell r="O3145">
            <v>2</v>
          </cell>
          <cell r="P3145">
            <v>0</v>
          </cell>
          <cell r="Q3145">
            <v>0</v>
          </cell>
          <cell r="R3145">
            <v>0</v>
          </cell>
          <cell r="S3145">
            <v>31</v>
          </cell>
          <cell r="T3145">
            <v>796</v>
          </cell>
          <cell r="U3145">
            <v>12.166666681878269</v>
          </cell>
          <cell r="V3145">
            <v>0</v>
          </cell>
          <cell r="W3145">
            <v>0</v>
          </cell>
          <cell r="X3145">
            <v>0</v>
          </cell>
          <cell r="Y3145">
            <v>188.58333356911317</v>
          </cell>
          <cell r="Z3145">
            <v>4842.333339387551</v>
          </cell>
        </row>
        <row r="3146">
          <cell r="C3146" t="str">
            <v>TEKİRDAĞ</v>
          </cell>
          <cell r="D3146" t="str">
            <v>SÜLEYMANPAŞA</v>
          </cell>
          <cell r="H3146" t="str">
            <v>Dağıtım-AG</v>
          </cell>
          <cell r="I3146" t="str">
            <v>Uzun</v>
          </cell>
          <cell r="J3146" t="str">
            <v>Şebeke işletmecisi</v>
          </cell>
          <cell r="K3146" t="str">
            <v>Bildirimsiz</v>
          </cell>
          <cell r="O3146">
            <v>0</v>
          </cell>
          <cell r="P3146">
            <v>18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  <cell r="U3146">
            <v>0</v>
          </cell>
          <cell r="V3146">
            <v>109.20000006677583</v>
          </cell>
          <cell r="W3146">
            <v>0</v>
          </cell>
          <cell r="X3146">
            <v>0</v>
          </cell>
          <cell r="Y3146">
            <v>0</v>
          </cell>
          <cell r="Z3146">
            <v>0</v>
          </cell>
        </row>
        <row r="3147">
          <cell r="C3147" t="str">
            <v>TEKİRDAĞ</v>
          </cell>
          <cell r="D3147" t="str">
            <v>ÇORLU</v>
          </cell>
          <cell r="H3147" t="str">
            <v>Dağıtım-AG</v>
          </cell>
          <cell r="I3147" t="str">
            <v>Uzun</v>
          </cell>
          <cell r="J3147" t="str">
            <v>Şebeke işletmecisi</v>
          </cell>
          <cell r="K3147" t="str">
            <v>Bildirimsiz</v>
          </cell>
          <cell r="O3147">
            <v>0</v>
          </cell>
          <cell r="P3147">
            <v>30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  <cell r="U3147">
            <v>0</v>
          </cell>
          <cell r="V3147">
            <v>181.99999979697168</v>
          </cell>
          <cell r="W3147">
            <v>0</v>
          </cell>
          <cell r="X3147">
            <v>0</v>
          </cell>
          <cell r="Y3147">
            <v>0</v>
          </cell>
          <cell r="Z3147">
            <v>0</v>
          </cell>
        </row>
        <row r="3148">
          <cell r="C3148" t="str">
            <v>KIRKLARELİ</v>
          </cell>
          <cell r="D3148" t="str">
            <v>VİZE</v>
          </cell>
          <cell r="H3148" t="str">
            <v>Dağıtım-AG</v>
          </cell>
          <cell r="I3148" t="str">
            <v>Uzun</v>
          </cell>
          <cell r="J3148" t="str">
            <v>Şebeke işletmecisi</v>
          </cell>
          <cell r="K3148" t="str">
            <v>Bildirimsiz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34</v>
          </cell>
          <cell r="U3148">
            <v>0</v>
          </cell>
          <cell r="V3148">
            <v>0</v>
          </cell>
          <cell r="W3148">
            <v>0</v>
          </cell>
          <cell r="X3148">
            <v>0</v>
          </cell>
          <cell r="Y3148">
            <v>0</v>
          </cell>
          <cell r="Z3148">
            <v>205.13333319453523</v>
          </cell>
        </row>
        <row r="3149">
          <cell r="C3149" t="str">
            <v>EDİRNE</v>
          </cell>
          <cell r="D3149" t="str">
            <v>UZUNKÖPRÜ</v>
          </cell>
          <cell r="H3149" t="str">
            <v>Dağıtım-AG</v>
          </cell>
          <cell r="I3149" t="str">
            <v>Uzun</v>
          </cell>
          <cell r="J3149" t="str">
            <v>Şebeke işletmecisi</v>
          </cell>
          <cell r="K3149" t="str">
            <v>Bildirimsiz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103</v>
          </cell>
          <cell r="U3149">
            <v>0</v>
          </cell>
          <cell r="V3149">
            <v>0</v>
          </cell>
          <cell r="W3149">
            <v>0</v>
          </cell>
          <cell r="X3149">
            <v>0</v>
          </cell>
          <cell r="Y3149">
            <v>0</v>
          </cell>
          <cell r="Z3149">
            <v>619.7166669240687</v>
          </cell>
        </row>
        <row r="3150">
          <cell r="C3150" t="str">
            <v>TEKİRDAĞ</v>
          </cell>
          <cell r="D3150" t="str">
            <v>SARAY</v>
          </cell>
          <cell r="H3150" t="str">
            <v>Dağıtım-AG</v>
          </cell>
          <cell r="I3150" t="str">
            <v>Uzun</v>
          </cell>
          <cell r="J3150" t="str">
            <v>Şebeke işletmecisi</v>
          </cell>
          <cell r="K3150" t="str">
            <v>Bildirimsiz</v>
          </cell>
          <cell r="O3150">
            <v>0</v>
          </cell>
          <cell r="P3150">
            <v>0</v>
          </cell>
          <cell r="Q3150">
            <v>0</v>
          </cell>
          <cell r="R3150">
            <v>2</v>
          </cell>
          <cell r="S3150">
            <v>0</v>
          </cell>
          <cell r="T3150">
            <v>0</v>
          </cell>
          <cell r="U3150">
            <v>0</v>
          </cell>
          <cell r="V3150">
            <v>0</v>
          </cell>
          <cell r="W3150">
            <v>0</v>
          </cell>
          <cell r="X3150">
            <v>11.999999997206032</v>
          </cell>
          <cell r="Y3150">
            <v>0</v>
          </cell>
          <cell r="Z3150">
            <v>0</v>
          </cell>
        </row>
        <row r="3151">
          <cell r="C3151" t="str">
            <v>EDİRNE</v>
          </cell>
          <cell r="D3151" t="str">
            <v>MERİÇ</v>
          </cell>
          <cell r="H3151" t="str">
            <v>Dağıtım-AG</v>
          </cell>
          <cell r="I3151" t="str">
            <v>Uzun</v>
          </cell>
          <cell r="J3151" t="str">
            <v>Şebeke işletmecisi</v>
          </cell>
          <cell r="K3151" t="str">
            <v>Bildirimsiz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69</v>
          </cell>
          <cell r="U3151">
            <v>0</v>
          </cell>
          <cell r="V3151">
            <v>0</v>
          </cell>
          <cell r="W3151">
            <v>0</v>
          </cell>
          <cell r="X3151">
            <v>0</v>
          </cell>
          <cell r="Y3151">
            <v>0</v>
          </cell>
          <cell r="Z3151">
            <v>413.99999990360811</v>
          </cell>
        </row>
        <row r="3152">
          <cell r="C3152" t="str">
            <v>TEKİRDAĞ</v>
          </cell>
          <cell r="D3152" t="str">
            <v>SÜLEYMANPAŞA</v>
          </cell>
          <cell r="H3152" t="str">
            <v>Dağıtım-AG</v>
          </cell>
          <cell r="I3152" t="str">
            <v>Uzun</v>
          </cell>
          <cell r="J3152" t="str">
            <v>Şebeke işletmecisi</v>
          </cell>
          <cell r="K3152" t="str">
            <v>Bildirimsiz</v>
          </cell>
          <cell r="O3152">
            <v>0</v>
          </cell>
          <cell r="P3152">
            <v>150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  <cell r="U3152">
            <v>0</v>
          </cell>
          <cell r="V3152">
            <v>897.50000077765435</v>
          </cell>
          <cell r="W3152">
            <v>0</v>
          </cell>
          <cell r="X3152">
            <v>0</v>
          </cell>
          <cell r="Y3152">
            <v>0</v>
          </cell>
          <cell r="Z3152">
            <v>0</v>
          </cell>
        </row>
        <row r="3153">
          <cell r="C3153" t="str">
            <v>KIRKLARELİ</v>
          </cell>
          <cell r="D3153" t="str">
            <v>KIRKLARELİMERKEZ</v>
          </cell>
          <cell r="H3153" t="str">
            <v>Dağıtım-OG</v>
          </cell>
          <cell r="I3153" t="str">
            <v>Uzun</v>
          </cell>
          <cell r="J3153" t="str">
            <v>Şebeke işletmecisi</v>
          </cell>
          <cell r="K3153" t="str">
            <v>Bildirimsiz</v>
          </cell>
          <cell r="O3153">
            <v>13</v>
          </cell>
          <cell r="P3153">
            <v>96</v>
          </cell>
          <cell r="Q3153">
            <v>1</v>
          </cell>
          <cell r="R3153">
            <v>0</v>
          </cell>
          <cell r="S3153">
            <v>0</v>
          </cell>
          <cell r="T3153">
            <v>1</v>
          </cell>
          <cell r="U3153">
            <v>77.783333264524117</v>
          </cell>
          <cell r="V3153">
            <v>574.3999994918704</v>
          </cell>
          <cell r="W3153">
            <v>5.9833333280403167</v>
          </cell>
          <cell r="X3153">
            <v>0</v>
          </cell>
          <cell r="Y3153">
            <v>0</v>
          </cell>
          <cell r="Z3153">
            <v>5.9833333280403167</v>
          </cell>
        </row>
        <row r="3154">
          <cell r="C3154" t="str">
            <v>EDİRNE</v>
          </cell>
          <cell r="D3154" t="str">
            <v>UZUNKÖPRÜ</v>
          </cell>
          <cell r="H3154" t="str">
            <v>Dağıtım-OG</v>
          </cell>
          <cell r="I3154" t="str">
            <v>Uzun</v>
          </cell>
          <cell r="J3154" t="str">
            <v>Şebeke İşletmecisi</v>
          </cell>
          <cell r="K3154" t="str">
            <v>Bildirimsiz</v>
          </cell>
          <cell r="O3154">
            <v>6</v>
          </cell>
          <cell r="P3154">
            <v>151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  <cell r="U3154">
            <v>35.599999960977584</v>
          </cell>
          <cell r="V3154">
            <v>895.9333323512692</v>
          </cell>
          <cell r="W3154">
            <v>0</v>
          </cell>
          <cell r="X3154">
            <v>0</v>
          </cell>
          <cell r="Y3154">
            <v>0</v>
          </cell>
          <cell r="Z3154">
            <v>0</v>
          </cell>
        </row>
        <row r="3155">
          <cell r="C3155" t="str">
            <v>TEKİRDAĞ</v>
          </cell>
          <cell r="D3155" t="str">
            <v>HAYRABOLU</v>
          </cell>
          <cell r="H3155" t="str">
            <v>Dağıtım-OG</v>
          </cell>
          <cell r="I3155" t="str">
            <v>Uzun</v>
          </cell>
          <cell r="J3155" t="str">
            <v>Şebeke İşletmecisi</v>
          </cell>
          <cell r="K3155" t="str">
            <v>Bildirimsiz</v>
          </cell>
          <cell r="O3155">
            <v>0</v>
          </cell>
          <cell r="P3155">
            <v>1</v>
          </cell>
          <cell r="Q3155">
            <v>10</v>
          </cell>
          <cell r="R3155">
            <v>1220</v>
          </cell>
          <cell r="S3155">
            <v>0</v>
          </cell>
          <cell r="T3155">
            <v>263</v>
          </cell>
          <cell r="U3155">
            <v>0</v>
          </cell>
          <cell r="V3155">
            <v>5.9333333268295974</v>
          </cell>
          <cell r="W3155">
            <v>59.333333268295974</v>
          </cell>
          <cell r="X3155">
            <v>7238.6666587321088</v>
          </cell>
          <cell r="Y3155">
            <v>0</v>
          </cell>
          <cell r="Z3155">
            <v>1560.4666649561841</v>
          </cell>
        </row>
        <row r="3156">
          <cell r="C3156" t="str">
            <v>EDİRNE</v>
          </cell>
          <cell r="D3156" t="str">
            <v>EDİRNEMERKEZ</v>
          </cell>
          <cell r="H3156" t="str">
            <v>Dağıtım-OG</v>
          </cell>
          <cell r="I3156" t="str">
            <v>Uzun</v>
          </cell>
          <cell r="J3156" t="str">
            <v>Şebeke İşletmecisi</v>
          </cell>
          <cell r="K3156" t="str">
            <v>Bildirimsiz</v>
          </cell>
          <cell r="O3156">
            <v>6</v>
          </cell>
          <cell r="P3156">
            <v>3062</v>
          </cell>
          <cell r="Q3156">
            <v>0</v>
          </cell>
          <cell r="R3156">
            <v>0</v>
          </cell>
          <cell r="S3156">
            <v>2</v>
          </cell>
          <cell r="T3156">
            <v>1</v>
          </cell>
          <cell r="U3156">
            <v>35.500000000465661</v>
          </cell>
          <cell r="V3156">
            <v>18116.833333570976</v>
          </cell>
          <cell r="W3156">
            <v>0</v>
          </cell>
          <cell r="X3156">
            <v>0</v>
          </cell>
          <cell r="Y3156">
            <v>11.833333333488554</v>
          </cell>
          <cell r="Z3156">
            <v>5.9166666667442769</v>
          </cell>
        </row>
        <row r="3157">
          <cell r="C3157" t="str">
            <v>KIRKLARELİ</v>
          </cell>
          <cell r="D3157" t="str">
            <v>BABAESKİ</v>
          </cell>
          <cell r="H3157" t="str">
            <v>Dağıtım-AG</v>
          </cell>
          <cell r="I3157" t="str">
            <v>Uzun</v>
          </cell>
          <cell r="J3157" t="str">
            <v>Şebeke işletmecisi</v>
          </cell>
          <cell r="K3157" t="str">
            <v>Bildirimsiz</v>
          </cell>
          <cell r="O3157">
            <v>0</v>
          </cell>
          <cell r="P3157">
            <v>18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  <cell r="U3157">
            <v>0</v>
          </cell>
          <cell r="V3157">
            <v>106.19999993126839</v>
          </cell>
          <cell r="W3157">
            <v>0</v>
          </cell>
          <cell r="X3157">
            <v>0</v>
          </cell>
          <cell r="Y3157">
            <v>0</v>
          </cell>
          <cell r="Z3157">
            <v>0</v>
          </cell>
        </row>
        <row r="3158">
          <cell r="C3158" t="str">
            <v>KIRKLARELİ</v>
          </cell>
          <cell r="D3158" t="str">
            <v>VİZE</v>
          </cell>
          <cell r="H3158" t="str">
            <v>Dağıtım-OG</v>
          </cell>
          <cell r="I3158" t="str">
            <v>Uzun</v>
          </cell>
          <cell r="J3158" t="str">
            <v>Şebeke İşletmecisi</v>
          </cell>
          <cell r="K3158" t="str">
            <v>Bildirimsiz</v>
          </cell>
          <cell r="O3158">
            <v>0</v>
          </cell>
          <cell r="P3158">
            <v>0</v>
          </cell>
          <cell r="Q3158">
            <v>1</v>
          </cell>
          <cell r="R3158">
            <v>0</v>
          </cell>
          <cell r="S3158">
            <v>23</v>
          </cell>
          <cell r="T3158">
            <v>1323</v>
          </cell>
          <cell r="U3158">
            <v>0</v>
          </cell>
          <cell r="V3158">
            <v>0</v>
          </cell>
          <cell r="W3158">
            <v>5.883333336096257</v>
          </cell>
          <cell r="X3158">
            <v>0</v>
          </cell>
          <cell r="Y3158">
            <v>135.31666673021391</v>
          </cell>
          <cell r="Z3158">
            <v>7783.650003655348</v>
          </cell>
        </row>
        <row r="3159">
          <cell r="C3159" t="str">
            <v>KIRKLARELİ</v>
          </cell>
          <cell r="D3159" t="str">
            <v>BABAESKİ</v>
          </cell>
          <cell r="H3159" t="str">
            <v>Dağıtım-AG</v>
          </cell>
          <cell r="I3159" t="str">
            <v>Uzun</v>
          </cell>
          <cell r="J3159" t="str">
            <v>Şebeke işletmecisi</v>
          </cell>
          <cell r="K3159" t="str">
            <v>Bildirimsiz</v>
          </cell>
          <cell r="O3159">
            <v>0</v>
          </cell>
          <cell r="P3159">
            <v>90</v>
          </cell>
          <cell r="Q3159">
            <v>0</v>
          </cell>
          <cell r="R3159">
            <v>1</v>
          </cell>
          <cell r="S3159">
            <v>0</v>
          </cell>
          <cell r="T3159">
            <v>0</v>
          </cell>
          <cell r="U3159">
            <v>0</v>
          </cell>
          <cell r="V3159">
            <v>527.99999989802018</v>
          </cell>
          <cell r="W3159">
            <v>0</v>
          </cell>
          <cell r="X3159">
            <v>5.8666666655335575</v>
          </cell>
          <cell r="Y3159">
            <v>0</v>
          </cell>
          <cell r="Z3159">
            <v>0</v>
          </cell>
        </row>
        <row r="3160">
          <cell r="C3160" t="str">
            <v>KIRKLARELİ</v>
          </cell>
          <cell r="D3160" t="str">
            <v>LÜLEBURGAZ</v>
          </cell>
          <cell r="H3160" t="str">
            <v>Dağıtım-AG</v>
          </cell>
          <cell r="I3160" t="str">
            <v>Uzun</v>
          </cell>
          <cell r="J3160" t="str">
            <v>Şebeke işletmecisi</v>
          </cell>
          <cell r="K3160" t="str">
            <v>Bildirimsiz</v>
          </cell>
          <cell r="O3160">
            <v>0</v>
          </cell>
          <cell r="P3160">
            <v>4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  <cell r="U3160">
            <v>0</v>
          </cell>
          <cell r="V3160">
            <v>23.400000021792948</v>
          </cell>
          <cell r="W3160">
            <v>0</v>
          </cell>
          <cell r="X3160">
            <v>0</v>
          </cell>
          <cell r="Y3160">
            <v>0</v>
          </cell>
          <cell r="Z3160">
            <v>0</v>
          </cell>
        </row>
        <row r="3161">
          <cell r="C3161" t="str">
            <v>KIRKLARELİ</v>
          </cell>
          <cell r="D3161" t="str">
            <v>VİZE</v>
          </cell>
          <cell r="H3161" t="str">
            <v>Dağıtım-AG</v>
          </cell>
          <cell r="I3161" t="str">
            <v>Uzun</v>
          </cell>
          <cell r="J3161" t="str">
            <v>Şebeke işletmecisi</v>
          </cell>
          <cell r="K3161" t="str">
            <v>Bildirimsiz</v>
          </cell>
          <cell r="O3161">
            <v>0</v>
          </cell>
          <cell r="P3161">
            <v>0</v>
          </cell>
          <cell r="Q3161">
            <v>0</v>
          </cell>
          <cell r="R3161">
            <v>1</v>
          </cell>
          <cell r="S3161">
            <v>0</v>
          </cell>
          <cell r="T3161">
            <v>117</v>
          </cell>
          <cell r="U3161">
            <v>0</v>
          </cell>
          <cell r="V3161">
            <v>0</v>
          </cell>
          <cell r="W3161">
            <v>0</v>
          </cell>
          <cell r="X3161">
            <v>5.8499999949708581</v>
          </cell>
          <cell r="Y3161">
            <v>0</v>
          </cell>
          <cell r="Z3161">
            <v>684.4499994115904</v>
          </cell>
        </row>
        <row r="3162">
          <cell r="C3162" t="str">
            <v>KIRKLARELİ</v>
          </cell>
          <cell r="D3162" t="str">
            <v>KIRKLARELİMERKEZ</v>
          </cell>
          <cell r="H3162" t="str">
            <v>Dağıtım-AG</v>
          </cell>
          <cell r="I3162" t="str">
            <v>Uzun</v>
          </cell>
          <cell r="J3162" t="str">
            <v>Şebeke işletmecisi</v>
          </cell>
          <cell r="K3162" t="str">
            <v>Bildirimsiz</v>
          </cell>
          <cell r="O3162">
            <v>0</v>
          </cell>
          <cell r="P3162">
            <v>176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  <cell r="U3162">
            <v>0</v>
          </cell>
          <cell r="V3162">
            <v>1029.599999114871</v>
          </cell>
          <cell r="W3162">
            <v>0</v>
          </cell>
          <cell r="X3162">
            <v>0</v>
          </cell>
          <cell r="Y3162">
            <v>0</v>
          </cell>
          <cell r="Z3162">
            <v>0</v>
          </cell>
        </row>
        <row r="3163">
          <cell r="C3163" t="str">
            <v>KIRKLARELİ</v>
          </cell>
          <cell r="D3163" t="str">
            <v>LÜLEBURGAZ</v>
          </cell>
          <cell r="H3163" t="str">
            <v>Dağıtım-AG</v>
          </cell>
          <cell r="I3163" t="str">
            <v>Uzun</v>
          </cell>
          <cell r="J3163" t="str">
            <v>Şebeke işletmecisi</v>
          </cell>
          <cell r="K3163" t="str">
            <v>Bildirimsiz</v>
          </cell>
          <cell r="O3163">
            <v>0</v>
          </cell>
          <cell r="P3163">
            <v>0</v>
          </cell>
          <cell r="Q3163">
            <v>0</v>
          </cell>
          <cell r="R3163">
            <v>11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63.800000046612695</v>
          </cell>
          <cell r="Y3163">
            <v>0</v>
          </cell>
          <cell r="Z3163">
            <v>0</v>
          </cell>
        </row>
        <row r="3164">
          <cell r="C3164" t="str">
            <v>TEKİRDAĞ</v>
          </cell>
          <cell r="D3164" t="str">
            <v>SÜLEYMANPAŞA</v>
          </cell>
          <cell r="H3164" t="str">
            <v>Dağıtım-OG</v>
          </cell>
          <cell r="I3164" t="str">
            <v>Uzun</v>
          </cell>
          <cell r="J3164" t="str">
            <v>Şebeke İşletmecisi</v>
          </cell>
          <cell r="K3164" t="str">
            <v>Bildirimsiz</v>
          </cell>
          <cell r="O3164">
            <v>39</v>
          </cell>
          <cell r="P3164">
            <v>1291</v>
          </cell>
          <cell r="Q3164">
            <v>2</v>
          </cell>
          <cell r="R3164">
            <v>0</v>
          </cell>
          <cell r="S3164">
            <v>0</v>
          </cell>
          <cell r="T3164">
            <v>1</v>
          </cell>
          <cell r="U3164">
            <v>226.19999975664541</v>
          </cell>
          <cell r="V3164">
            <v>7487.7999919443391</v>
          </cell>
          <cell r="W3164">
            <v>11.599999987520278</v>
          </cell>
          <cell r="X3164">
            <v>0</v>
          </cell>
          <cell r="Y3164">
            <v>0</v>
          </cell>
          <cell r="Z3164">
            <v>5.7999999937601388</v>
          </cell>
        </row>
        <row r="3165">
          <cell r="C3165" t="str">
            <v>EDİRNE</v>
          </cell>
          <cell r="D3165" t="str">
            <v>UZUNKÖPRÜ</v>
          </cell>
          <cell r="H3165" t="str">
            <v>Dağıtım-AG</v>
          </cell>
          <cell r="I3165" t="str">
            <v>Uzun</v>
          </cell>
          <cell r="J3165" t="str">
            <v>Şebeke işletmecisi</v>
          </cell>
          <cell r="K3165" t="str">
            <v>Bildirimsiz</v>
          </cell>
          <cell r="O3165">
            <v>0</v>
          </cell>
          <cell r="P3165">
            <v>316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1811.7333330586553</v>
          </cell>
          <cell r="W3165">
            <v>0</v>
          </cell>
          <cell r="X3165">
            <v>0</v>
          </cell>
          <cell r="Y3165">
            <v>0</v>
          </cell>
          <cell r="Z3165">
            <v>0</v>
          </cell>
        </row>
        <row r="3166">
          <cell r="C3166" t="str">
            <v>EDİRNE</v>
          </cell>
          <cell r="D3166" t="str">
            <v>KEŞAN</v>
          </cell>
          <cell r="H3166" t="str">
            <v>Dağıtım-AG</v>
          </cell>
          <cell r="I3166" t="str">
            <v>Uzun</v>
          </cell>
          <cell r="J3166" t="str">
            <v>Şebeke işletmecisi</v>
          </cell>
          <cell r="K3166" t="str">
            <v>Bildirimsiz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15</v>
          </cell>
          <cell r="U3166">
            <v>0</v>
          </cell>
          <cell r="V3166">
            <v>0</v>
          </cell>
          <cell r="W3166">
            <v>0</v>
          </cell>
          <cell r="X3166">
            <v>0</v>
          </cell>
          <cell r="Y3166">
            <v>0</v>
          </cell>
          <cell r="Z3166">
            <v>85.249999968800694</v>
          </cell>
        </row>
        <row r="3167">
          <cell r="C3167" t="str">
            <v>KIRKLARELİ</v>
          </cell>
          <cell r="D3167" t="str">
            <v>BABAESKİ</v>
          </cell>
          <cell r="H3167" t="str">
            <v>Dağıtım-AG</v>
          </cell>
          <cell r="I3167" t="str">
            <v>Uzun</v>
          </cell>
          <cell r="J3167" t="str">
            <v>Şebeke işletmecisi</v>
          </cell>
          <cell r="K3167" t="str">
            <v>Bildirimsiz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43</v>
          </cell>
          <cell r="U3167">
            <v>0</v>
          </cell>
          <cell r="V3167">
            <v>0</v>
          </cell>
          <cell r="W3167">
            <v>0</v>
          </cell>
          <cell r="X3167">
            <v>0</v>
          </cell>
          <cell r="Y3167">
            <v>0</v>
          </cell>
          <cell r="Z3167">
            <v>243.66666686022654</v>
          </cell>
        </row>
        <row r="3168">
          <cell r="C3168" t="str">
            <v>TEKİRDAĞ</v>
          </cell>
          <cell r="D3168" t="str">
            <v>MARMARAEREĞLİSİ</v>
          </cell>
          <cell r="H3168" t="str">
            <v>Dağıtım-AG</v>
          </cell>
          <cell r="I3168" t="str">
            <v>Uzun</v>
          </cell>
          <cell r="J3168" t="str">
            <v>Şebeke işletmecisi</v>
          </cell>
          <cell r="K3168" t="str">
            <v>Bildirimsiz</v>
          </cell>
          <cell r="O3168">
            <v>0</v>
          </cell>
          <cell r="P3168">
            <v>30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  <cell r="U3168">
            <v>0</v>
          </cell>
          <cell r="V3168">
            <v>168.50000009872019</v>
          </cell>
          <cell r="W3168">
            <v>0</v>
          </cell>
          <cell r="X3168">
            <v>0</v>
          </cell>
          <cell r="Y3168">
            <v>0</v>
          </cell>
          <cell r="Z3168">
            <v>0</v>
          </cell>
        </row>
        <row r="3169">
          <cell r="C3169" t="str">
            <v>TEKİRDAĞ</v>
          </cell>
          <cell r="D3169" t="str">
            <v>MURATLI</v>
          </cell>
          <cell r="H3169" t="str">
            <v>Dağıtım-AG</v>
          </cell>
          <cell r="I3169" t="str">
            <v>Uzun</v>
          </cell>
          <cell r="J3169" t="str">
            <v>Şebeke işletmecisi</v>
          </cell>
          <cell r="K3169" t="str">
            <v>Bildirimsiz</v>
          </cell>
          <cell r="O3169">
            <v>0</v>
          </cell>
          <cell r="P3169">
            <v>1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  <cell r="U3169">
            <v>0</v>
          </cell>
          <cell r="V3169">
            <v>5.5999999993946403</v>
          </cell>
          <cell r="W3169">
            <v>0</v>
          </cell>
          <cell r="X3169">
            <v>0</v>
          </cell>
          <cell r="Y3169">
            <v>0</v>
          </cell>
          <cell r="Z3169">
            <v>0</v>
          </cell>
        </row>
        <row r="3170">
          <cell r="C3170" t="str">
            <v>TEKİRDAĞ</v>
          </cell>
          <cell r="D3170" t="str">
            <v>SARAY</v>
          </cell>
          <cell r="H3170" t="str">
            <v>Dağıtım-AG</v>
          </cell>
          <cell r="I3170" t="str">
            <v>Uzun</v>
          </cell>
          <cell r="J3170" t="str">
            <v>Şebeke işletmecisi</v>
          </cell>
          <cell r="K3170" t="str">
            <v>Bildirimsiz</v>
          </cell>
          <cell r="O3170">
            <v>0</v>
          </cell>
          <cell r="P3170">
            <v>0</v>
          </cell>
          <cell r="Q3170">
            <v>0</v>
          </cell>
          <cell r="R3170">
            <v>1</v>
          </cell>
          <cell r="S3170">
            <v>0</v>
          </cell>
          <cell r="T3170">
            <v>0</v>
          </cell>
          <cell r="U3170">
            <v>0</v>
          </cell>
          <cell r="V3170">
            <v>0</v>
          </cell>
          <cell r="W3170">
            <v>0</v>
          </cell>
          <cell r="X3170">
            <v>5.5999999993946403</v>
          </cell>
          <cell r="Y3170">
            <v>0</v>
          </cell>
          <cell r="Z3170">
            <v>0</v>
          </cell>
        </row>
        <row r="3171">
          <cell r="C3171" t="str">
            <v>EDİRNE</v>
          </cell>
          <cell r="D3171" t="str">
            <v>MERİÇ</v>
          </cell>
          <cell r="H3171" t="str">
            <v>Dağıtım-OG</v>
          </cell>
          <cell r="I3171" t="str">
            <v>Uzun</v>
          </cell>
          <cell r="J3171" t="str">
            <v>Şebeke İşletmecisi</v>
          </cell>
          <cell r="K3171" t="str">
            <v>Bildirimsiz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14</v>
          </cell>
          <cell r="T3171">
            <v>766</v>
          </cell>
          <cell r="U3171">
            <v>0</v>
          </cell>
          <cell r="V3171">
            <v>0</v>
          </cell>
          <cell r="W3171">
            <v>0</v>
          </cell>
          <cell r="X3171">
            <v>0</v>
          </cell>
          <cell r="Y3171">
            <v>77.933333362452686</v>
          </cell>
          <cell r="Z3171">
            <v>4264.0666682599112</v>
          </cell>
        </row>
        <row r="3172">
          <cell r="C3172" t="str">
            <v>EDİRNE</v>
          </cell>
          <cell r="D3172" t="str">
            <v>UZUNKÖPRÜ</v>
          </cell>
          <cell r="H3172" t="str">
            <v>Dağıtım-OG</v>
          </cell>
          <cell r="I3172" t="str">
            <v>Uzun</v>
          </cell>
          <cell r="J3172" t="str">
            <v>Şebeke İşletmecisi</v>
          </cell>
          <cell r="K3172" t="str">
            <v>Bildirimsiz</v>
          </cell>
          <cell r="O3172">
            <v>1</v>
          </cell>
          <cell r="P3172">
            <v>0</v>
          </cell>
          <cell r="Q3172">
            <v>0</v>
          </cell>
          <cell r="R3172">
            <v>0</v>
          </cell>
          <cell r="S3172">
            <v>3</v>
          </cell>
          <cell r="T3172">
            <v>0</v>
          </cell>
          <cell r="U3172">
            <v>5.549999998183921</v>
          </cell>
          <cell r="V3172">
            <v>0</v>
          </cell>
          <cell r="W3172">
            <v>0</v>
          </cell>
          <cell r="X3172">
            <v>0</v>
          </cell>
          <cell r="Y3172">
            <v>16.649999994551763</v>
          </cell>
          <cell r="Z3172">
            <v>0</v>
          </cell>
        </row>
        <row r="3173">
          <cell r="C3173" t="str">
            <v>TEKİRDAĞ</v>
          </cell>
          <cell r="D3173" t="str">
            <v>ÇERKEZKÖY</v>
          </cell>
          <cell r="H3173" t="str">
            <v>Dağıtım-OG</v>
          </cell>
          <cell r="I3173" t="str">
            <v>Uzun</v>
          </cell>
          <cell r="J3173" t="str">
            <v>Şebeke İşletmecisi</v>
          </cell>
          <cell r="K3173" t="str">
            <v>Bildirimsiz</v>
          </cell>
          <cell r="O3173">
            <v>31</v>
          </cell>
          <cell r="P3173">
            <v>5674</v>
          </cell>
          <cell r="Q3173">
            <v>0</v>
          </cell>
          <cell r="R3173">
            <v>16</v>
          </cell>
          <cell r="S3173">
            <v>0</v>
          </cell>
          <cell r="T3173">
            <v>1</v>
          </cell>
          <cell r="U3173">
            <v>171.53333348105662</v>
          </cell>
          <cell r="V3173">
            <v>31396.133360371459</v>
          </cell>
          <cell r="W3173">
            <v>0</v>
          </cell>
          <cell r="X3173">
            <v>88.533333409577608</v>
          </cell>
          <cell r="Y3173">
            <v>0</v>
          </cell>
          <cell r="Z3173">
            <v>5.5333333380986005</v>
          </cell>
        </row>
        <row r="3174">
          <cell r="C3174" t="str">
            <v>TEKİRDAĞ</v>
          </cell>
          <cell r="D3174" t="str">
            <v>ÇERKEZKÖY</v>
          </cell>
          <cell r="H3174" t="str">
            <v>Dağıtım-OG</v>
          </cell>
          <cell r="I3174" t="str">
            <v>Uzun</v>
          </cell>
          <cell r="J3174" t="str">
            <v>Şebeke İşletmecisi</v>
          </cell>
          <cell r="K3174" t="str">
            <v>Bildirimsiz</v>
          </cell>
          <cell r="O3174">
            <v>9</v>
          </cell>
          <cell r="P3174">
            <v>503</v>
          </cell>
          <cell r="Q3174">
            <v>0</v>
          </cell>
          <cell r="R3174">
            <v>0</v>
          </cell>
          <cell r="S3174">
            <v>0</v>
          </cell>
          <cell r="T3174">
            <v>1</v>
          </cell>
          <cell r="U3174">
            <v>49.35000003199093</v>
          </cell>
          <cell r="V3174">
            <v>2758.1166684546042</v>
          </cell>
          <cell r="W3174">
            <v>0</v>
          </cell>
          <cell r="X3174">
            <v>0</v>
          </cell>
          <cell r="Y3174">
            <v>0</v>
          </cell>
          <cell r="Z3174">
            <v>5.4833333368878812</v>
          </cell>
        </row>
        <row r="3175">
          <cell r="C3175" t="str">
            <v>EDİRNE</v>
          </cell>
          <cell r="D3175" t="str">
            <v>EDİRNEMERKEZ</v>
          </cell>
          <cell r="H3175" t="str">
            <v>Dağıtım-OG</v>
          </cell>
          <cell r="I3175" t="str">
            <v>Uzun</v>
          </cell>
          <cell r="J3175" t="str">
            <v>Şebeke İşletmecisi</v>
          </cell>
          <cell r="K3175" t="str">
            <v>Bildirimsiz</v>
          </cell>
          <cell r="O3175">
            <v>0</v>
          </cell>
          <cell r="P3175">
            <v>0</v>
          </cell>
          <cell r="Q3175">
            <v>0</v>
          </cell>
          <cell r="R3175">
            <v>1</v>
          </cell>
          <cell r="S3175">
            <v>9</v>
          </cell>
          <cell r="T3175">
            <v>414</v>
          </cell>
          <cell r="U3175">
            <v>0</v>
          </cell>
          <cell r="V3175">
            <v>0</v>
          </cell>
          <cell r="W3175">
            <v>0</v>
          </cell>
          <cell r="X3175">
            <v>5.4833333264105022</v>
          </cell>
          <cell r="Y3175">
            <v>49.34999993769452</v>
          </cell>
          <cell r="Z3175">
            <v>2270.0999971339479</v>
          </cell>
        </row>
        <row r="3176">
          <cell r="C3176" t="str">
            <v>TEKİRDAĞ</v>
          </cell>
          <cell r="D3176" t="str">
            <v>SÜLEYMANPAŞA</v>
          </cell>
          <cell r="H3176" t="str">
            <v>Dağıtım-AG</v>
          </cell>
          <cell r="I3176" t="str">
            <v>Uzun</v>
          </cell>
          <cell r="J3176" t="str">
            <v>Şebeke işletmecisi</v>
          </cell>
          <cell r="K3176" t="str">
            <v>Bildirimsiz</v>
          </cell>
          <cell r="O3176">
            <v>0</v>
          </cell>
          <cell r="P3176">
            <v>20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>
            <v>0</v>
          </cell>
          <cell r="V3176">
            <v>109.33333332650363</v>
          </cell>
          <cell r="W3176">
            <v>0</v>
          </cell>
          <cell r="X3176">
            <v>0</v>
          </cell>
          <cell r="Y3176">
            <v>0</v>
          </cell>
          <cell r="Z3176">
            <v>0</v>
          </cell>
        </row>
        <row r="3177">
          <cell r="C3177" t="str">
            <v>EDİRNE</v>
          </cell>
          <cell r="D3177" t="str">
            <v>KEŞAN</v>
          </cell>
          <cell r="H3177" t="str">
            <v>Dağıtım-AG</v>
          </cell>
          <cell r="I3177" t="str">
            <v>Uzun</v>
          </cell>
          <cell r="J3177" t="str">
            <v>Şebeke işletmecisi</v>
          </cell>
          <cell r="K3177" t="str">
            <v>Bildirimsiz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2</v>
          </cell>
          <cell r="U3177">
            <v>0</v>
          </cell>
          <cell r="V3177">
            <v>0</v>
          </cell>
          <cell r="W3177">
            <v>0</v>
          </cell>
          <cell r="X3177">
            <v>0</v>
          </cell>
          <cell r="Y3177">
            <v>0</v>
          </cell>
          <cell r="Z3177">
            <v>10.899999991524965</v>
          </cell>
        </row>
        <row r="3178">
          <cell r="C3178" t="str">
            <v>TEKİRDAĞ</v>
          </cell>
          <cell r="D3178" t="str">
            <v>MURATLI</v>
          </cell>
          <cell r="H3178" t="str">
            <v>Dağıtım-AG</v>
          </cell>
          <cell r="I3178" t="str">
            <v>Uzun</v>
          </cell>
          <cell r="J3178" t="str">
            <v>Şebeke işletmecisi</v>
          </cell>
          <cell r="K3178" t="str">
            <v>Bildirimsiz</v>
          </cell>
          <cell r="O3178">
            <v>0</v>
          </cell>
          <cell r="P3178">
            <v>59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  <cell r="U3178">
            <v>0</v>
          </cell>
          <cell r="V3178">
            <v>320.56666680495255</v>
          </cell>
          <cell r="W3178">
            <v>0</v>
          </cell>
          <cell r="X3178">
            <v>0</v>
          </cell>
          <cell r="Y3178">
            <v>0</v>
          </cell>
          <cell r="Z3178">
            <v>0</v>
          </cell>
        </row>
        <row r="3179">
          <cell r="C3179" t="str">
            <v>KIRKLARELİ</v>
          </cell>
          <cell r="D3179" t="str">
            <v>KIRKLARELİMERKEZ</v>
          </cell>
          <cell r="H3179" t="str">
            <v>Dağıtım-OG</v>
          </cell>
          <cell r="I3179" t="str">
            <v>Uzun</v>
          </cell>
          <cell r="J3179" t="str">
            <v>Şebeke İşletmecisi</v>
          </cell>
          <cell r="K3179" t="str">
            <v>Bildirimsiz</v>
          </cell>
          <cell r="O3179">
            <v>16</v>
          </cell>
          <cell r="P3179">
            <v>0</v>
          </cell>
          <cell r="Q3179">
            <v>0</v>
          </cell>
          <cell r="R3179">
            <v>0</v>
          </cell>
          <cell r="S3179">
            <v>27</v>
          </cell>
          <cell r="T3179">
            <v>232</v>
          </cell>
          <cell r="U3179">
            <v>86.933333203196526</v>
          </cell>
          <cell r="V3179">
            <v>0</v>
          </cell>
          <cell r="W3179">
            <v>0</v>
          </cell>
          <cell r="X3179">
            <v>0</v>
          </cell>
          <cell r="Y3179">
            <v>146.69999978039414</v>
          </cell>
          <cell r="Z3179">
            <v>1260.5333314463496</v>
          </cell>
        </row>
        <row r="3180">
          <cell r="C3180" t="str">
            <v>EDİRNE</v>
          </cell>
          <cell r="D3180" t="str">
            <v>UZUNKÖPRÜ</v>
          </cell>
          <cell r="H3180" t="str">
            <v>Dağıtım-AG</v>
          </cell>
          <cell r="I3180" t="str">
            <v>Uzun</v>
          </cell>
          <cell r="J3180" t="str">
            <v>Şebeke işletmecisi</v>
          </cell>
          <cell r="K3180" t="str">
            <v>Bildirimsiz</v>
          </cell>
          <cell r="O3180">
            <v>0</v>
          </cell>
          <cell r="P3180">
            <v>128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  <cell r="U3180">
            <v>0</v>
          </cell>
          <cell r="V3180">
            <v>691.19999930262566</v>
          </cell>
          <cell r="W3180">
            <v>0</v>
          </cell>
          <cell r="X3180">
            <v>0</v>
          </cell>
          <cell r="Y3180">
            <v>0</v>
          </cell>
          <cell r="Z3180">
            <v>0</v>
          </cell>
        </row>
        <row r="3181">
          <cell r="C3181" t="str">
            <v>TEKİRDAĞ</v>
          </cell>
          <cell r="D3181" t="str">
            <v>SARAY</v>
          </cell>
          <cell r="H3181" t="str">
            <v>Dağıtım-AG</v>
          </cell>
          <cell r="I3181" t="str">
            <v>Uzun</v>
          </cell>
          <cell r="J3181" t="str">
            <v>Şebeke işletmecisi</v>
          </cell>
          <cell r="K3181" t="str">
            <v>Bildirimsiz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3</v>
          </cell>
          <cell r="U3181">
            <v>0</v>
          </cell>
          <cell r="V3181">
            <v>0</v>
          </cell>
          <cell r="W3181">
            <v>0</v>
          </cell>
          <cell r="X3181">
            <v>0</v>
          </cell>
          <cell r="Y3181">
            <v>0</v>
          </cell>
          <cell r="Z3181">
            <v>16.150000003399327</v>
          </cell>
        </row>
        <row r="3182">
          <cell r="C3182" t="str">
            <v>EDİRNE</v>
          </cell>
          <cell r="D3182" t="str">
            <v>LALAPAŞA</v>
          </cell>
          <cell r="H3182" t="str">
            <v>Dağıtım-OG</v>
          </cell>
          <cell r="I3182" t="str">
            <v>Uzun</v>
          </cell>
          <cell r="J3182" t="str">
            <v>Şebeke İşletmecisi</v>
          </cell>
          <cell r="K3182" t="str">
            <v>Bildirimsiz</v>
          </cell>
          <cell r="O3182">
            <v>0</v>
          </cell>
          <cell r="P3182">
            <v>0</v>
          </cell>
          <cell r="Q3182">
            <v>0</v>
          </cell>
          <cell r="R3182">
            <v>1</v>
          </cell>
          <cell r="S3182">
            <v>40</v>
          </cell>
          <cell r="T3182">
            <v>1492</v>
          </cell>
          <cell r="U3182">
            <v>0</v>
          </cell>
          <cell r="V3182">
            <v>0</v>
          </cell>
          <cell r="W3182">
            <v>0</v>
          </cell>
          <cell r="X3182">
            <v>5.366666663903743</v>
          </cell>
          <cell r="Y3182">
            <v>214.66666655614972</v>
          </cell>
          <cell r="Z3182">
            <v>8007.0666625443846</v>
          </cell>
        </row>
        <row r="3183">
          <cell r="C3183" t="str">
            <v>KIRKLARELİ</v>
          </cell>
          <cell r="D3183" t="str">
            <v>BABAESKİ</v>
          </cell>
          <cell r="H3183" t="str">
            <v>Dağıtım-OG</v>
          </cell>
          <cell r="I3183" t="str">
            <v>Uzun</v>
          </cell>
          <cell r="J3183" t="str">
            <v>Şebeke işletmecisi</v>
          </cell>
          <cell r="K3183" t="str">
            <v>Bildirimsiz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204</v>
          </cell>
          <cell r="U3183">
            <v>0</v>
          </cell>
          <cell r="V3183">
            <v>0</v>
          </cell>
          <cell r="W3183">
            <v>0</v>
          </cell>
          <cell r="X3183">
            <v>0</v>
          </cell>
          <cell r="Y3183">
            <v>0</v>
          </cell>
          <cell r="Z3183">
            <v>1094.7999994363636</v>
          </cell>
        </row>
        <row r="3184">
          <cell r="C3184" t="str">
            <v>TEKİRDAĞ</v>
          </cell>
          <cell r="D3184" t="str">
            <v>ŞARKÖY</v>
          </cell>
          <cell r="H3184" t="str">
            <v>Dağıtım-AG</v>
          </cell>
          <cell r="I3184" t="str">
            <v>Uzun</v>
          </cell>
          <cell r="J3184" t="str">
            <v>Şebeke işletmecisi</v>
          </cell>
          <cell r="K3184" t="str">
            <v>Bildirimsiz</v>
          </cell>
          <cell r="O3184">
            <v>0</v>
          </cell>
          <cell r="P3184">
            <v>0</v>
          </cell>
          <cell r="Q3184">
            <v>0</v>
          </cell>
          <cell r="R3184">
            <v>255</v>
          </cell>
          <cell r="S3184">
            <v>0</v>
          </cell>
          <cell r="T3184">
            <v>0</v>
          </cell>
          <cell r="U3184">
            <v>0</v>
          </cell>
          <cell r="V3184">
            <v>0</v>
          </cell>
          <cell r="W3184">
            <v>0</v>
          </cell>
          <cell r="X3184">
            <v>1364.2500009736978</v>
          </cell>
          <cell r="Y3184">
            <v>0</v>
          </cell>
          <cell r="Z3184">
            <v>0</v>
          </cell>
        </row>
        <row r="3185">
          <cell r="C3185" t="str">
            <v>KIRKLARELİ</v>
          </cell>
          <cell r="D3185" t="str">
            <v>LÜLEBURGAZ</v>
          </cell>
          <cell r="H3185" t="str">
            <v>Dağıtım-OG</v>
          </cell>
          <cell r="I3185" t="str">
            <v>Uzun</v>
          </cell>
          <cell r="J3185" t="str">
            <v>Şebeke İşletmecisi</v>
          </cell>
          <cell r="K3185" t="str">
            <v>Bildirimsiz</v>
          </cell>
          <cell r="O3185">
            <v>8</v>
          </cell>
          <cell r="P3185">
            <v>17723</v>
          </cell>
          <cell r="Q3185">
            <v>0</v>
          </cell>
          <cell r="R3185">
            <v>1</v>
          </cell>
          <cell r="S3185">
            <v>1</v>
          </cell>
          <cell r="T3185">
            <v>3</v>
          </cell>
          <cell r="U3185">
            <v>42.666666666045785</v>
          </cell>
          <cell r="V3185">
            <v>94522.666665291181</v>
          </cell>
          <cell r="W3185">
            <v>0</v>
          </cell>
          <cell r="X3185">
            <v>5.3333333332557231</v>
          </cell>
          <cell r="Y3185">
            <v>5.3333333332557231</v>
          </cell>
          <cell r="Z3185">
            <v>15.999999999767169</v>
          </cell>
        </row>
        <row r="3186">
          <cell r="C3186" t="str">
            <v>TEKİRDAĞ</v>
          </cell>
          <cell r="D3186" t="str">
            <v>SÜLEYMANPAŞA</v>
          </cell>
          <cell r="H3186" t="str">
            <v>Dağıtım-AG</v>
          </cell>
          <cell r="I3186" t="str">
            <v>Uzun</v>
          </cell>
          <cell r="J3186" t="str">
            <v>Şebeke işletmecisi</v>
          </cell>
          <cell r="K3186" t="str">
            <v>Bildirimsiz</v>
          </cell>
          <cell r="O3186">
            <v>0</v>
          </cell>
          <cell r="P3186">
            <v>1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  <cell r="U3186">
            <v>0</v>
          </cell>
          <cell r="V3186">
            <v>5.2833333320450038</v>
          </cell>
          <cell r="W3186">
            <v>0</v>
          </cell>
          <cell r="X3186">
            <v>0</v>
          </cell>
          <cell r="Y3186">
            <v>0</v>
          </cell>
          <cell r="Z3186">
            <v>0</v>
          </cell>
        </row>
        <row r="3187">
          <cell r="C3187" t="str">
            <v>TEKİRDAĞ</v>
          </cell>
          <cell r="D3187" t="str">
            <v>SÜLEYMANPAŞA</v>
          </cell>
          <cell r="H3187" t="str">
            <v>Dağıtım-AG</v>
          </cell>
          <cell r="I3187" t="str">
            <v>Uzun</v>
          </cell>
          <cell r="J3187" t="str">
            <v>Şebeke işletmecisi</v>
          </cell>
          <cell r="K3187" t="str">
            <v>Bildirimsiz</v>
          </cell>
          <cell r="O3187">
            <v>0</v>
          </cell>
          <cell r="P3187">
            <v>10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  <cell r="U3187">
            <v>0</v>
          </cell>
          <cell r="V3187">
            <v>52.499999909196049</v>
          </cell>
          <cell r="W3187">
            <v>0</v>
          </cell>
          <cell r="X3187">
            <v>0</v>
          </cell>
          <cell r="Y3187">
            <v>0</v>
          </cell>
          <cell r="Z3187">
            <v>0</v>
          </cell>
        </row>
        <row r="3188">
          <cell r="C3188" t="str">
            <v>KIRKLARELİ</v>
          </cell>
          <cell r="D3188" t="str">
            <v>KIRKLARELİMERKEZ</v>
          </cell>
          <cell r="H3188" t="str">
            <v>Dağıtım-OG</v>
          </cell>
          <cell r="I3188" t="str">
            <v>Uzun</v>
          </cell>
          <cell r="J3188" t="str">
            <v>Şebeke İşletmecisi</v>
          </cell>
          <cell r="K3188" t="str">
            <v>Bildirimsiz</v>
          </cell>
          <cell r="O3188">
            <v>0</v>
          </cell>
          <cell r="P3188">
            <v>0</v>
          </cell>
          <cell r="Q3188">
            <v>1</v>
          </cell>
          <cell r="R3188">
            <v>0</v>
          </cell>
          <cell r="S3188">
            <v>26</v>
          </cell>
          <cell r="T3188">
            <v>907</v>
          </cell>
          <cell r="U3188">
            <v>0</v>
          </cell>
          <cell r="V3188">
            <v>0</v>
          </cell>
          <cell r="W3188">
            <v>5.2000000001862645</v>
          </cell>
          <cell r="X3188">
            <v>0</v>
          </cell>
          <cell r="Y3188">
            <v>135.20000000484288</v>
          </cell>
          <cell r="Z3188">
            <v>4716.4000001689419</v>
          </cell>
        </row>
        <row r="3189">
          <cell r="C3189" t="str">
            <v>KIRKLARELİ</v>
          </cell>
          <cell r="D3189" t="str">
            <v>LÜLEBURGAZ</v>
          </cell>
          <cell r="H3189" t="str">
            <v>Dağıtım-OG</v>
          </cell>
          <cell r="I3189" t="str">
            <v>Uzun</v>
          </cell>
          <cell r="J3189" t="str">
            <v>Şebeke İşletmecisi</v>
          </cell>
          <cell r="K3189" t="str">
            <v>Bildirimsiz</v>
          </cell>
          <cell r="O3189">
            <v>1</v>
          </cell>
          <cell r="P3189">
            <v>3</v>
          </cell>
          <cell r="Q3189">
            <v>0</v>
          </cell>
          <cell r="R3189">
            <v>0</v>
          </cell>
          <cell r="S3189">
            <v>0</v>
          </cell>
          <cell r="T3189">
            <v>2</v>
          </cell>
          <cell r="U3189">
            <v>5.2000000001862645</v>
          </cell>
          <cell r="V3189">
            <v>15.600000000558794</v>
          </cell>
          <cell r="W3189">
            <v>0</v>
          </cell>
          <cell r="X3189">
            <v>0</v>
          </cell>
          <cell r="Y3189">
            <v>0</v>
          </cell>
          <cell r="Z3189">
            <v>10.400000000372529</v>
          </cell>
        </row>
        <row r="3190">
          <cell r="C3190" t="str">
            <v>EDİRNE</v>
          </cell>
          <cell r="D3190" t="str">
            <v>EDİRNEMERKEZ</v>
          </cell>
          <cell r="H3190" t="str">
            <v>Dağıtım-OG</v>
          </cell>
          <cell r="I3190" t="str">
            <v>Uzun</v>
          </cell>
          <cell r="J3190" t="str">
            <v>Şebeke İşletmecisi</v>
          </cell>
          <cell r="K3190" t="str">
            <v>Bildirimsiz</v>
          </cell>
          <cell r="O3190">
            <v>1</v>
          </cell>
          <cell r="P3190">
            <v>0</v>
          </cell>
          <cell r="Q3190">
            <v>2</v>
          </cell>
          <cell r="R3190">
            <v>2</v>
          </cell>
          <cell r="S3190">
            <v>28</v>
          </cell>
          <cell r="T3190">
            <v>1848</v>
          </cell>
          <cell r="U3190">
            <v>5.2000000001862645</v>
          </cell>
          <cell r="V3190">
            <v>0</v>
          </cell>
          <cell r="W3190">
            <v>10.400000000372529</v>
          </cell>
          <cell r="X3190">
            <v>10.400000000372529</v>
          </cell>
          <cell r="Y3190">
            <v>145.60000000521541</v>
          </cell>
          <cell r="Z3190">
            <v>9609.6000003442168</v>
          </cell>
        </row>
        <row r="3191">
          <cell r="C3191" t="str">
            <v>EDİRNE</v>
          </cell>
          <cell r="D3191" t="str">
            <v>MERİÇ</v>
          </cell>
          <cell r="H3191" t="str">
            <v>Dağıtım-AG</v>
          </cell>
          <cell r="I3191" t="str">
            <v>Uzun</v>
          </cell>
          <cell r="J3191" t="str">
            <v>Şebeke işletmecisi</v>
          </cell>
          <cell r="K3191" t="str">
            <v>Bildirimsiz</v>
          </cell>
          <cell r="O3191">
            <v>0</v>
          </cell>
          <cell r="P3191">
            <v>0</v>
          </cell>
          <cell r="Q3191">
            <v>0</v>
          </cell>
          <cell r="R3191">
            <v>36</v>
          </cell>
          <cell r="S3191">
            <v>0</v>
          </cell>
          <cell r="T3191">
            <v>0</v>
          </cell>
          <cell r="U3191">
            <v>0</v>
          </cell>
          <cell r="V3191">
            <v>0</v>
          </cell>
          <cell r="W3191">
            <v>0</v>
          </cell>
          <cell r="X3191">
            <v>186.59999986644834</v>
          </cell>
          <cell r="Y3191">
            <v>0</v>
          </cell>
          <cell r="Z3191">
            <v>0</v>
          </cell>
        </row>
        <row r="3192">
          <cell r="C3192" t="str">
            <v>EDİRNE</v>
          </cell>
          <cell r="D3192" t="str">
            <v>KEŞAN</v>
          </cell>
          <cell r="H3192" t="str">
            <v>Dağıtım-OG</v>
          </cell>
          <cell r="I3192" t="str">
            <v>Uzun</v>
          </cell>
          <cell r="J3192" t="str">
            <v>Şebeke işletmecisi</v>
          </cell>
          <cell r="K3192" t="str">
            <v>Bildirimsiz</v>
          </cell>
          <cell r="O3192">
            <v>5</v>
          </cell>
          <cell r="P3192">
            <v>61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>
            <v>25.749999994877726</v>
          </cell>
          <cell r="V3192">
            <v>314.14999993750826</v>
          </cell>
          <cell r="W3192">
            <v>0</v>
          </cell>
          <cell r="X3192">
            <v>0</v>
          </cell>
          <cell r="Y3192">
            <v>0</v>
          </cell>
          <cell r="Z3192">
            <v>0</v>
          </cell>
        </row>
        <row r="3193">
          <cell r="C3193" t="str">
            <v>KIRKLARELİ</v>
          </cell>
          <cell r="D3193" t="str">
            <v>PINARHİSAR</v>
          </cell>
          <cell r="H3193" t="str">
            <v>Dağıtım-OG</v>
          </cell>
          <cell r="I3193" t="str">
            <v>Uzun</v>
          </cell>
          <cell r="J3193" t="str">
            <v>Şebeke İşletmecisi</v>
          </cell>
          <cell r="K3193" t="str">
            <v>Bildirimsiz</v>
          </cell>
          <cell r="O3193">
            <v>0</v>
          </cell>
          <cell r="P3193">
            <v>0</v>
          </cell>
          <cell r="Q3193">
            <v>4</v>
          </cell>
          <cell r="R3193">
            <v>1</v>
          </cell>
          <cell r="S3193">
            <v>48</v>
          </cell>
          <cell r="T3193">
            <v>2197</v>
          </cell>
          <cell r="U3193">
            <v>0</v>
          </cell>
          <cell r="V3193">
            <v>0</v>
          </cell>
          <cell r="W3193">
            <v>20.533333355560899</v>
          </cell>
          <cell r="X3193">
            <v>5.1333333388902247</v>
          </cell>
          <cell r="Y3193">
            <v>246.40000026673079</v>
          </cell>
          <cell r="Z3193">
            <v>11277.933345541824</v>
          </cell>
        </row>
        <row r="3194">
          <cell r="C3194" t="str">
            <v>KIRKLARELİ</v>
          </cell>
          <cell r="D3194" t="str">
            <v>LÜLEBURGAZ</v>
          </cell>
          <cell r="H3194" t="str">
            <v>Dağıtım-AG</v>
          </cell>
          <cell r="I3194" t="str">
            <v>Uzun</v>
          </cell>
          <cell r="J3194" t="str">
            <v>Şebeke işletmecisi</v>
          </cell>
          <cell r="K3194" t="str">
            <v>Bildirimsiz</v>
          </cell>
          <cell r="O3194">
            <v>0</v>
          </cell>
          <cell r="P3194">
            <v>0</v>
          </cell>
          <cell r="Q3194">
            <v>0</v>
          </cell>
          <cell r="R3194">
            <v>21</v>
          </cell>
          <cell r="S3194">
            <v>0</v>
          </cell>
          <cell r="T3194">
            <v>0</v>
          </cell>
          <cell r="U3194">
            <v>0</v>
          </cell>
          <cell r="V3194">
            <v>0</v>
          </cell>
          <cell r="W3194">
            <v>0</v>
          </cell>
          <cell r="X3194">
            <v>107.79999989666976</v>
          </cell>
          <cell r="Y3194">
            <v>0</v>
          </cell>
          <cell r="Z3194">
            <v>0</v>
          </cell>
        </row>
        <row r="3195">
          <cell r="C3195" t="str">
            <v>KIRKLARELİ</v>
          </cell>
          <cell r="D3195" t="str">
            <v>DEMİRKÖY</v>
          </cell>
          <cell r="H3195" t="str">
            <v>Dağıtım-OG</v>
          </cell>
          <cell r="I3195" t="str">
            <v>Uzun</v>
          </cell>
          <cell r="J3195" t="str">
            <v>Şebeke İşletmecisi</v>
          </cell>
          <cell r="K3195" t="str">
            <v>Bildirimsiz</v>
          </cell>
          <cell r="O3195">
            <v>0</v>
          </cell>
          <cell r="P3195">
            <v>0</v>
          </cell>
          <cell r="Q3195">
            <v>0</v>
          </cell>
          <cell r="R3195">
            <v>281</v>
          </cell>
          <cell r="S3195">
            <v>4</v>
          </cell>
          <cell r="T3195">
            <v>288</v>
          </cell>
          <cell r="U3195">
            <v>0</v>
          </cell>
          <cell r="V3195">
            <v>0</v>
          </cell>
          <cell r="W3195">
            <v>0</v>
          </cell>
          <cell r="X3195">
            <v>1433.0999993719161</v>
          </cell>
          <cell r="Y3195">
            <v>20.399999991059303</v>
          </cell>
          <cell r="Z3195">
            <v>1468.7999993562698</v>
          </cell>
        </row>
        <row r="3196">
          <cell r="C3196" t="str">
            <v>KIRKLARELİ</v>
          </cell>
          <cell r="D3196" t="str">
            <v>BABAESKİ</v>
          </cell>
          <cell r="H3196" t="str">
            <v>Dağıtım-AG</v>
          </cell>
          <cell r="I3196" t="str">
            <v>Uzun</v>
          </cell>
          <cell r="J3196" t="str">
            <v>Şebeke işletmecisi</v>
          </cell>
          <cell r="K3196" t="str">
            <v>Bildirimsiz</v>
          </cell>
          <cell r="O3196">
            <v>0</v>
          </cell>
          <cell r="P3196">
            <v>55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  <cell r="U3196">
            <v>0</v>
          </cell>
          <cell r="V3196">
            <v>279.58333357237279</v>
          </cell>
          <cell r="W3196">
            <v>0</v>
          </cell>
          <cell r="X3196">
            <v>0</v>
          </cell>
          <cell r="Y3196">
            <v>0</v>
          </cell>
          <cell r="Z3196">
            <v>0</v>
          </cell>
        </row>
        <row r="3197">
          <cell r="C3197" t="str">
            <v>KIRKLARELİ</v>
          </cell>
          <cell r="D3197" t="str">
            <v>VİZE</v>
          </cell>
          <cell r="H3197" t="str">
            <v>Dağıtım-AG</v>
          </cell>
          <cell r="I3197" t="str">
            <v>Uzun</v>
          </cell>
          <cell r="J3197" t="str">
            <v>Şebeke işletmecisi</v>
          </cell>
          <cell r="K3197" t="str">
            <v>Bildirimsiz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1</v>
          </cell>
          <cell r="U3197">
            <v>0</v>
          </cell>
          <cell r="V3197">
            <v>0</v>
          </cell>
          <cell r="W3197">
            <v>0</v>
          </cell>
          <cell r="X3197">
            <v>0</v>
          </cell>
          <cell r="Y3197">
            <v>0</v>
          </cell>
          <cell r="Z3197">
            <v>5.0500000070314854</v>
          </cell>
        </row>
        <row r="3198">
          <cell r="C3198" t="str">
            <v>TEKİRDAĞ</v>
          </cell>
          <cell r="D3198" t="str">
            <v>HAYRABOLU</v>
          </cell>
          <cell r="H3198" t="str">
            <v>Dağıtım-AG</v>
          </cell>
          <cell r="I3198" t="str">
            <v>Uzun</v>
          </cell>
          <cell r="J3198" t="str">
            <v>Şebeke işletmecisi</v>
          </cell>
          <cell r="K3198" t="str">
            <v>Bildirimsiz</v>
          </cell>
          <cell r="O3198">
            <v>0</v>
          </cell>
          <cell r="P3198">
            <v>0</v>
          </cell>
          <cell r="Q3198">
            <v>0</v>
          </cell>
          <cell r="R3198">
            <v>76</v>
          </cell>
          <cell r="S3198">
            <v>0</v>
          </cell>
          <cell r="T3198">
            <v>0</v>
          </cell>
          <cell r="U3198">
            <v>0</v>
          </cell>
          <cell r="V3198">
            <v>0</v>
          </cell>
          <cell r="W3198">
            <v>0</v>
          </cell>
          <cell r="X3198">
            <v>382.53333277534693</v>
          </cell>
          <cell r="Y3198">
            <v>0</v>
          </cell>
          <cell r="Z3198">
            <v>0</v>
          </cell>
        </row>
        <row r="3199">
          <cell r="C3199" t="str">
            <v>KIRKLARELİ</v>
          </cell>
          <cell r="D3199" t="str">
            <v>PINARHİSAR</v>
          </cell>
          <cell r="H3199" t="str">
            <v>Dağıtım-OG</v>
          </cell>
          <cell r="I3199" t="str">
            <v>Uzun</v>
          </cell>
          <cell r="J3199" t="str">
            <v>Şebeke İşletmecisi</v>
          </cell>
          <cell r="K3199" t="str">
            <v>Bildirimsiz</v>
          </cell>
          <cell r="O3199">
            <v>0</v>
          </cell>
          <cell r="P3199">
            <v>0</v>
          </cell>
          <cell r="Q3199">
            <v>0</v>
          </cell>
          <cell r="R3199">
            <v>1</v>
          </cell>
          <cell r="S3199">
            <v>0</v>
          </cell>
          <cell r="T3199">
            <v>392</v>
          </cell>
          <cell r="U3199">
            <v>0</v>
          </cell>
          <cell r="V3199">
            <v>0</v>
          </cell>
          <cell r="W3199">
            <v>0</v>
          </cell>
          <cell r="X3199">
            <v>5.033333325991407</v>
          </cell>
          <cell r="Y3199">
            <v>0</v>
          </cell>
          <cell r="Z3199">
            <v>1973.0666637886316</v>
          </cell>
        </row>
        <row r="3200">
          <cell r="C3200" t="str">
            <v>KIRKLARELİ</v>
          </cell>
          <cell r="D3200" t="str">
            <v>LÜLEBURGAZ</v>
          </cell>
          <cell r="H3200" t="str">
            <v>Dağıtım-OG</v>
          </cell>
          <cell r="I3200" t="str">
            <v>Uzun</v>
          </cell>
          <cell r="J3200" t="str">
            <v>Şebeke İşletmecisi</v>
          </cell>
          <cell r="K3200" t="str">
            <v>Bildirimsiz</v>
          </cell>
          <cell r="O3200">
            <v>0</v>
          </cell>
          <cell r="P3200">
            <v>0</v>
          </cell>
          <cell r="Q3200">
            <v>3</v>
          </cell>
          <cell r="R3200">
            <v>302</v>
          </cell>
          <cell r="S3200">
            <v>2</v>
          </cell>
          <cell r="T3200">
            <v>1</v>
          </cell>
          <cell r="U3200">
            <v>0</v>
          </cell>
          <cell r="V3200">
            <v>0</v>
          </cell>
          <cell r="W3200">
            <v>15.04999999771826</v>
          </cell>
          <cell r="X3200">
            <v>1515.0333331036381</v>
          </cell>
          <cell r="Y3200">
            <v>10.033333331812173</v>
          </cell>
          <cell r="Z3200">
            <v>5.0166666659060866</v>
          </cell>
        </row>
        <row r="3201">
          <cell r="C3201" t="str">
            <v>TEKİRDAĞ</v>
          </cell>
          <cell r="D3201" t="str">
            <v>SÜLEYMANPAŞA</v>
          </cell>
          <cell r="H3201" t="str">
            <v>Dağıtım-OG</v>
          </cell>
          <cell r="I3201" t="str">
            <v>Uzun</v>
          </cell>
          <cell r="J3201" t="str">
            <v>Şebeke işletmecisi</v>
          </cell>
          <cell r="K3201" t="str">
            <v>Bildirimsiz</v>
          </cell>
          <cell r="O3201">
            <v>1</v>
          </cell>
          <cell r="P3201">
            <v>66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  <cell r="U3201">
            <v>5.0166666659060866</v>
          </cell>
          <cell r="V3201">
            <v>331.09999994980171</v>
          </cell>
          <cell r="W3201">
            <v>0</v>
          </cell>
          <cell r="X3201">
            <v>0</v>
          </cell>
          <cell r="Y3201">
            <v>0</v>
          </cell>
          <cell r="Z3201">
            <v>0</v>
          </cell>
        </row>
        <row r="3202">
          <cell r="C3202" t="str">
            <v>TEKİRDAĞ</v>
          </cell>
          <cell r="D3202" t="str">
            <v>SÜLEYMANPAŞA</v>
          </cell>
          <cell r="H3202" t="str">
            <v>Dağıtım-OG</v>
          </cell>
          <cell r="I3202" t="str">
            <v>Uzun</v>
          </cell>
          <cell r="J3202" t="str">
            <v>Şebeke işletmecisi</v>
          </cell>
          <cell r="K3202" t="str">
            <v>Bildirimsiz</v>
          </cell>
          <cell r="O3202">
            <v>6</v>
          </cell>
          <cell r="P3202">
            <v>111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  <cell r="U3202">
            <v>30.000000034924597</v>
          </cell>
          <cell r="V3202">
            <v>555.00000064610504</v>
          </cell>
          <cell r="W3202">
            <v>0</v>
          </cell>
          <cell r="X3202">
            <v>0</v>
          </cell>
          <cell r="Y3202">
            <v>0</v>
          </cell>
          <cell r="Z3202">
            <v>0</v>
          </cell>
        </row>
        <row r="3203">
          <cell r="C3203" t="str">
            <v>KIRKLARELİ</v>
          </cell>
          <cell r="D3203" t="str">
            <v>LÜLEBURGAZ</v>
          </cell>
          <cell r="H3203" t="str">
            <v>Dağıtım-OG</v>
          </cell>
          <cell r="I3203" t="str">
            <v>Uzun</v>
          </cell>
          <cell r="J3203" t="str">
            <v>Şebeke İşletmecisi</v>
          </cell>
          <cell r="K3203" t="str">
            <v>Bildirimsiz</v>
          </cell>
          <cell r="O3203">
            <v>3</v>
          </cell>
          <cell r="P3203">
            <v>0</v>
          </cell>
          <cell r="Q3203">
            <v>0</v>
          </cell>
          <cell r="R3203">
            <v>0</v>
          </cell>
          <cell r="S3203">
            <v>8</v>
          </cell>
          <cell r="T3203">
            <v>0</v>
          </cell>
          <cell r="U3203">
            <v>14.999999986030161</v>
          </cell>
          <cell r="V3203">
            <v>0</v>
          </cell>
          <cell r="W3203">
            <v>0</v>
          </cell>
          <cell r="X3203">
            <v>0</v>
          </cell>
          <cell r="Y3203">
            <v>39.999999962747097</v>
          </cell>
          <cell r="Z3203">
            <v>0</v>
          </cell>
        </row>
        <row r="3204">
          <cell r="C3204" t="str">
            <v>EDİRNE</v>
          </cell>
          <cell r="D3204" t="str">
            <v>HAVSA</v>
          </cell>
          <cell r="H3204" t="str">
            <v>Dağıtım-AG</v>
          </cell>
          <cell r="I3204" t="str">
            <v>Uzun</v>
          </cell>
          <cell r="J3204" t="str">
            <v>Şebeke işletmecisi</v>
          </cell>
          <cell r="K3204" t="str">
            <v>Bildirimsiz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11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>
            <v>0</v>
          </cell>
          <cell r="Z3204">
            <v>54.999999948777258</v>
          </cell>
        </row>
        <row r="3205">
          <cell r="C3205" t="str">
            <v>EDİRNE</v>
          </cell>
          <cell r="D3205" t="str">
            <v>EDİRNEMERKEZ</v>
          </cell>
          <cell r="H3205" t="str">
            <v>Dağıtım-OG</v>
          </cell>
          <cell r="I3205" t="str">
            <v>Uzun</v>
          </cell>
          <cell r="J3205" t="str">
            <v>Şebeke işletmecisi</v>
          </cell>
          <cell r="K3205" t="str">
            <v>Bildirimsiz</v>
          </cell>
          <cell r="O3205">
            <v>6</v>
          </cell>
          <cell r="P3205">
            <v>3067</v>
          </cell>
          <cell r="Q3205">
            <v>0</v>
          </cell>
          <cell r="R3205">
            <v>0</v>
          </cell>
          <cell r="S3205">
            <v>2</v>
          </cell>
          <cell r="T3205">
            <v>1</v>
          </cell>
          <cell r="U3205">
            <v>29.999999972060323</v>
          </cell>
          <cell r="V3205">
            <v>15334.999985718168</v>
          </cell>
          <cell r="W3205">
            <v>0</v>
          </cell>
          <cell r="X3205">
            <v>0</v>
          </cell>
          <cell r="Y3205">
            <v>9.9999999906867743</v>
          </cell>
          <cell r="Z3205">
            <v>4.9999999953433871</v>
          </cell>
        </row>
        <row r="3206">
          <cell r="C3206" t="str">
            <v>TEKİRDAĞ</v>
          </cell>
          <cell r="D3206" t="str">
            <v>HAYRABOLU</v>
          </cell>
          <cell r="H3206" t="str">
            <v>Dağıtım-OG</v>
          </cell>
          <cell r="I3206" t="str">
            <v>Uzun</v>
          </cell>
          <cell r="J3206" t="str">
            <v>Şebeke İşletmecisi</v>
          </cell>
          <cell r="K3206" t="str">
            <v>Bildirimsiz</v>
          </cell>
          <cell r="O3206">
            <v>0</v>
          </cell>
          <cell r="P3206">
            <v>1</v>
          </cell>
          <cell r="Q3206">
            <v>7</v>
          </cell>
          <cell r="R3206">
            <v>0</v>
          </cell>
          <cell r="S3206">
            <v>4</v>
          </cell>
          <cell r="T3206">
            <v>569</v>
          </cell>
          <cell r="U3206">
            <v>0</v>
          </cell>
          <cell r="V3206">
            <v>4.9833333352580667</v>
          </cell>
          <cell r="W3206">
            <v>34.883333346806467</v>
          </cell>
          <cell r="X3206">
            <v>0</v>
          </cell>
          <cell r="Y3206">
            <v>19.933333341032267</v>
          </cell>
          <cell r="Z3206">
            <v>2835.5166677618399</v>
          </cell>
        </row>
        <row r="3207">
          <cell r="C3207" t="str">
            <v>KIRKLARELİ</v>
          </cell>
          <cell r="D3207" t="str">
            <v>LÜLEBURGAZ</v>
          </cell>
          <cell r="H3207" t="str">
            <v>Dağıtım-AG</v>
          </cell>
          <cell r="I3207" t="str">
            <v>Uzun</v>
          </cell>
          <cell r="J3207" t="str">
            <v>Şebeke işletmecisi</v>
          </cell>
          <cell r="K3207" t="str">
            <v>Bildirimsiz</v>
          </cell>
          <cell r="O3207">
            <v>0</v>
          </cell>
          <cell r="P3207">
            <v>7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34.766666652867571</v>
          </cell>
          <cell r="W3207">
            <v>0</v>
          </cell>
          <cell r="X3207">
            <v>0</v>
          </cell>
          <cell r="Y3207">
            <v>0</v>
          </cell>
          <cell r="Z3207">
            <v>0</v>
          </cell>
        </row>
        <row r="3208">
          <cell r="C3208" t="str">
            <v>EDİRNE</v>
          </cell>
          <cell r="D3208" t="str">
            <v>MERİÇ</v>
          </cell>
          <cell r="H3208" t="str">
            <v>Dağıtım-OG</v>
          </cell>
          <cell r="I3208" t="str">
            <v>Uzun</v>
          </cell>
          <cell r="J3208" t="str">
            <v>Şebeke İşletmecisi</v>
          </cell>
          <cell r="K3208" t="str">
            <v>Bildirimsiz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14</v>
          </cell>
          <cell r="T3208">
            <v>766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>
            <v>69.300000064540654</v>
          </cell>
          <cell r="Z3208">
            <v>3791.7000035312958</v>
          </cell>
        </row>
        <row r="3209">
          <cell r="C3209" t="str">
            <v>KIRKLARELİ</v>
          </cell>
          <cell r="D3209" t="str">
            <v>LÜLEBURGAZ</v>
          </cell>
          <cell r="H3209" t="str">
            <v>Dağıtım-OG</v>
          </cell>
          <cell r="I3209" t="str">
            <v>Uzun</v>
          </cell>
          <cell r="J3209" t="str">
            <v>Şebeke İşletmecisi</v>
          </cell>
          <cell r="K3209" t="str">
            <v>Bildirimsiz</v>
          </cell>
          <cell r="O3209">
            <v>0</v>
          </cell>
          <cell r="P3209">
            <v>283</v>
          </cell>
          <cell r="Q3209">
            <v>0</v>
          </cell>
          <cell r="R3209">
            <v>0</v>
          </cell>
          <cell r="S3209">
            <v>1</v>
          </cell>
          <cell r="T3209">
            <v>18</v>
          </cell>
          <cell r="U3209">
            <v>0</v>
          </cell>
          <cell r="V3209">
            <v>1400.849998339545</v>
          </cell>
          <cell r="W3209">
            <v>0</v>
          </cell>
          <cell r="X3209">
            <v>0</v>
          </cell>
          <cell r="Y3209">
            <v>4.9499999941326678</v>
          </cell>
          <cell r="Z3209">
            <v>89.09999989438802</v>
          </cell>
        </row>
        <row r="3210">
          <cell r="C3210" t="str">
            <v>KIRKLARELİ</v>
          </cell>
          <cell r="D3210" t="str">
            <v>DEMİRKÖY</v>
          </cell>
          <cell r="H3210" t="str">
            <v>Dağıtım-OG</v>
          </cell>
          <cell r="I3210" t="str">
            <v>Uzun</v>
          </cell>
          <cell r="J3210" t="str">
            <v>Şebeke İşletmecisi</v>
          </cell>
          <cell r="K3210" t="str">
            <v>Bildirimsiz</v>
          </cell>
          <cell r="O3210">
            <v>0</v>
          </cell>
          <cell r="P3210">
            <v>0</v>
          </cell>
          <cell r="Q3210">
            <v>3</v>
          </cell>
          <cell r="R3210">
            <v>166</v>
          </cell>
          <cell r="S3210">
            <v>8</v>
          </cell>
          <cell r="T3210">
            <v>236</v>
          </cell>
          <cell r="U3210">
            <v>0</v>
          </cell>
          <cell r="V3210">
            <v>0</v>
          </cell>
          <cell r="W3210">
            <v>14.800000002142042</v>
          </cell>
          <cell r="X3210">
            <v>818.93333345185965</v>
          </cell>
          <cell r="Y3210">
            <v>39.466666672378778</v>
          </cell>
          <cell r="Z3210">
            <v>1164.266666835174</v>
          </cell>
        </row>
        <row r="3211">
          <cell r="C3211" t="str">
            <v>KIRKLARELİ</v>
          </cell>
          <cell r="D3211" t="str">
            <v>DEMİRKÖY</v>
          </cell>
          <cell r="H3211" t="str">
            <v>Dağıtım-OG</v>
          </cell>
          <cell r="I3211" t="str">
            <v>Uzun</v>
          </cell>
          <cell r="J3211" t="str">
            <v>Şebeke İşletmecisi</v>
          </cell>
          <cell r="K3211" t="str">
            <v>Bildirimsiz</v>
          </cell>
          <cell r="O3211">
            <v>0</v>
          </cell>
          <cell r="P3211">
            <v>0</v>
          </cell>
          <cell r="Q3211">
            <v>14</v>
          </cell>
          <cell r="R3211">
            <v>3807</v>
          </cell>
          <cell r="S3211">
            <v>15</v>
          </cell>
          <cell r="T3211">
            <v>665</v>
          </cell>
          <cell r="U3211">
            <v>0</v>
          </cell>
          <cell r="V3211">
            <v>0</v>
          </cell>
          <cell r="W3211">
            <v>69.066666676662862</v>
          </cell>
          <cell r="X3211">
            <v>18781.200002718251</v>
          </cell>
          <cell r="Y3211">
            <v>74.00000001071021</v>
          </cell>
          <cell r="Z3211">
            <v>3280.666667141486</v>
          </cell>
        </row>
        <row r="3212">
          <cell r="C3212" t="str">
            <v>KIRKLARELİ</v>
          </cell>
          <cell r="D3212" t="str">
            <v>LÜLEBURGAZ</v>
          </cell>
          <cell r="H3212" t="str">
            <v>Dağıtım-OG</v>
          </cell>
          <cell r="I3212" t="str">
            <v>Uzun</v>
          </cell>
          <cell r="J3212" t="str">
            <v>Şebeke İşletmecisi</v>
          </cell>
          <cell r="K3212" t="str">
            <v>Bildirimsiz</v>
          </cell>
          <cell r="O3212">
            <v>1</v>
          </cell>
          <cell r="P3212">
            <v>0</v>
          </cell>
          <cell r="Q3212">
            <v>0</v>
          </cell>
          <cell r="R3212">
            <v>0</v>
          </cell>
          <cell r="S3212">
            <v>10</v>
          </cell>
          <cell r="T3212">
            <v>305</v>
          </cell>
          <cell r="U3212">
            <v>4.9166666634846479</v>
          </cell>
          <cell r="V3212">
            <v>0</v>
          </cell>
          <cell r="W3212">
            <v>0</v>
          </cell>
          <cell r="X3212">
            <v>0</v>
          </cell>
          <cell r="Y3212">
            <v>49.166666634846479</v>
          </cell>
          <cell r="Z3212">
            <v>1499.5833323628176</v>
          </cell>
        </row>
        <row r="3213">
          <cell r="C3213" t="str">
            <v>TEKİRDAĞ</v>
          </cell>
          <cell r="D3213" t="str">
            <v>MARMARAEREĞLİSİ</v>
          </cell>
          <cell r="H3213" t="str">
            <v>Dağıtım-AG</v>
          </cell>
          <cell r="I3213" t="str">
            <v>Uzun</v>
          </cell>
          <cell r="J3213" t="str">
            <v>Şebeke işletmecisi</v>
          </cell>
          <cell r="K3213" t="str">
            <v>Bildirimsiz</v>
          </cell>
          <cell r="O3213">
            <v>0</v>
          </cell>
          <cell r="P3213">
            <v>74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362.59999947622418</v>
          </cell>
          <cell r="W3213">
            <v>0</v>
          </cell>
          <cell r="X3213">
            <v>0</v>
          </cell>
          <cell r="Y3213">
            <v>0</v>
          </cell>
          <cell r="Z3213">
            <v>0</v>
          </cell>
        </row>
        <row r="3214">
          <cell r="C3214" t="str">
            <v>TEKİRDAĞ</v>
          </cell>
          <cell r="D3214" t="str">
            <v>ÇERKEZKÖY</v>
          </cell>
          <cell r="H3214" t="str">
            <v>Dağıtım-OG</v>
          </cell>
          <cell r="I3214" t="str">
            <v>Uzun</v>
          </cell>
          <cell r="J3214" t="str">
            <v>Şebeke işletmecisi</v>
          </cell>
          <cell r="K3214" t="str">
            <v>Bildirimsiz</v>
          </cell>
          <cell r="O3214">
            <v>5</v>
          </cell>
          <cell r="P3214">
            <v>4723</v>
          </cell>
          <cell r="Q3214">
            <v>0</v>
          </cell>
          <cell r="R3214">
            <v>4</v>
          </cell>
          <cell r="S3214">
            <v>0</v>
          </cell>
          <cell r="T3214">
            <v>0</v>
          </cell>
          <cell r="U3214">
            <v>24.166666710516438</v>
          </cell>
          <cell r="V3214">
            <v>22827.833374753827</v>
          </cell>
          <cell r="W3214">
            <v>0</v>
          </cell>
          <cell r="X3214">
            <v>19.33333336841315</v>
          </cell>
          <cell r="Y3214">
            <v>0</v>
          </cell>
          <cell r="Z3214">
            <v>0</v>
          </cell>
        </row>
        <row r="3215">
          <cell r="C3215" t="str">
            <v>TEKİRDAĞ</v>
          </cell>
          <cell r="D3215" t="str">
            <v>MARMARAEREĞLİSİ</v>
          </cell>
          <cell r="H3215" t="str">
            <v>Dağıtım-OG</v>
          </cell>
          <cell r="I3215" t="str">
            <v>Uzun</v>
          </cell>
          <cell r="J3215" t="str">
            <v>Şebeke İşletmecisi</v>
          </cell>
          <cell r="K3215" t="str">
            <v>Bildirimsiz</v>
          </cell>
          <cell r="O3215">
            <v>4</v>
          </cell>
          <cell r="P3215">
            <v>3109</v>
          </cell>
          <cell r="Q3215">
            <v>4</v>
          </cell>
          <cell r="R3215">
            <v>11</v>
          </cell>
          <cell r="S3215">
            <v>1</v>
          </cell>
          <cell r="T3215">
            <v>0</v>
          </cell>
          <cell r="U3215">
            <v>19.266666686162353</v>
          </cell>
          <cell r="V3215">
            <v>14975.016681819689</v>
          </cell>
          <cell r="W3215">
            <v>19.266666686162353</v>
          </cell>
          <cell r="X3215">
            <v>52.98333338694647</v>
          </cell>
          <cell r="Y3215">
            <v>4.8166666715405881</v>
          </cell>
          <cell r="Z3215">
            <v>0</v>
          </cell>
        </row>
        <row r="3216">
          <cell r="C3216" t="str">
            <v>KIRKLARELİ</v>
          </cell>
          <cell r="D3216" t="str">
            <v>LÜLEBURGAZ</v>
          </cell>
          <cell r="H3216" t="str">
            <v>Dağıtım-OG</v>
          </cell>
          <cell r="I3216" t="str">
            <v>Uzun</v>
          </cell>
          <cell r="J3216" t="str">
            <v>Şebeke İşletmecisi</v>
          </cell>
          <cell r="K3216" t="str">
            <v>Bildirimsiz</v>
          </cell>
          <cell r="O3216">
            <v>1</v>
          </cell>
          <cell r="P3216">
            <v>0</v>
          </cell>
          <cell r="Q3216">
            <v>0</v>
          </cell>
          <cell r="R3216">
            <v>0</v>
          </cell>
          <cell r="S3216">
            <v>10</v>
          </cell>
          <cell r="T3216">
            <v>305</v>
          </cell>
          <cell r="U3216">
            <v>4.8166666610632092</v>
          </cell>
          <cell r="V3216">
            <v>0</v>
          </cell>
          <cell r="W3216">
            <v>0</v>
          </cell>
          <cell r="X3216">
            <v>0</v>
          </cell>
          <cell r="Y3216">
            <v>48.166666610632092</v>
          </cell>
          <cell r="Z3216">
            <v>1469.0833316242788</v>
          </cell>
        </row>
        <row r="3217">
          <cell r="C3217" t="str">
            <v>TEKİRDAĞ</v>
          </cell>
          <cell r="D3217" t="str">
            <v>SARAY</v>
          </cell>
          <cell r="H3217" t="str">
            <v>Dağıtım-AG</v>
          </cell>
          <cell r="I3217" t="str">
            <v>Uzun</v>
          </cell>
          <cell r="J3217" t="str">
            <v>Şebeke işletmecisi</v>
          </cell>
          <cell r="K3217" t="str">
            <v>Bildirimsiz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2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>
            <v>0</v>
          </cell>
          <cell r="Z3217">
            <v>9.6000000019557774</v>
          </cell>
        </row>
        <row r="3218">
          <cell r="C3218" t="str">
            <v>KIRKLARELİ</v>
          </cell>
          <cell r="D3218" t="str">
            <v>LÜLEBURGAZ</v>
          </cell>
          <cell r="H3218" t="str">
            <v>Dağıtım-OG</v>
          </cell>
          <cell r="I3218" t="str">
            <v>Uzun</v>
          </cell>
          <cell r="J3218" t="str">
            <v>Şebeke İşletmecisi</v>
          </cell>
          <cell r="K3218" t="str">
            <v>Bildirimsiz</v>
          </cell>
          <cell r="O3218">
            <v>2</v>
          </cell>
          <cell r="P3218">
            <v>0</v>
          </cell>
          <cell r="Q3218">
            <v>0</v>
          </cell>
          <cell r="R3218">
            <v>0</v>
          </cell>
          <cell r="S3218">
            <v>31</v>
          </cell>
          <cell r="T3218">
            <v>796</v>
          </cell>
          <cell r="U3218">
            <v>9.6000000019557774</v>
          </cell>
          <cell r="V3218">
            <v>0</v>
          </cell>
          <cell r="W3218">
            <v>0</v>
          </cell>
          <cell r="X3218">
            <v>0</v>
          </cell>
          <cell r="Y3218">
            <v>148.80000003031455</v>
          </cell>
          <cell r="Z3218">
            <v>3820.8000007783994</v>
          </cell>
        </row>
        <row r="3219">
          <cell r="C3219" t="str">
            <v>TEKİRDAĞ</v>
          </cell>
          <cell r="D3219" t="str">
            <v>ÇORLU</v>
          </cell>
          <cell r="H3219" t="str">
            <v>Dağıtım-OG</v>
          </cell>
          <cell r="I3219" t="str">
            <v>Uzun</v>
          </cell>
          <cell r="J3219" t="str">
            <v>Şebeke İşletmecisi</v>
          </cell>
          <cell r="K3219" t="str">
            <v>Bildirimsiz</v>
          </cell>
          <cell r="O3219">
            <v>2</v>
          </cell>
          <cell r="P3219">
            <v>979</v>
          </cell>
          <cell r="Q3219">
            <v>0</v>
          </cell>
          <cell r="R3219">
            <v>0</v>
          </cell>
          <cell r="S3219">
            <v>0</v>
          </cell>
          <cell r="T3219">
            <v>5</v>
          </cell>
          <cell r="U3219">
            <v>9.5999999810010195</v>
          </cell>
          <cell r="V3219">
            <v>4699.199990699999</v>
          </cell>
          <cell r="W3219">
            <v>0</v>
          </cell>
          <cell r="X3219">
            <v>0</v>
          </cell>
          <cell r="Y3219">
            <v>0</v>
          </cell>
          <cell r="Z3219">
            <v>23.999999952502549</v>
          </cell>
        </row>
        <row r="3220">
          <cell r="C3220" t="str">
            <v>EDİRNE</v>
          </cell>
          <cell r="D3220" t="str">
            <v>UZUNKÖPRÜ</v>
          </cell>
          <cell r="H3220" t="str">
            <v>Dağıtım-OG</v>
          </cell>
          <cell r="I3220" t="str">
            <v>Uzun</v>
          </cell>
          <cell r="J3220" t="str">
            <v>Şebeke İşletmecisi</v>
          </cell>
          <cell r="K3220" t="str">
            <v>Bildirimsiz</v>
          </cell>
          <cell r="O3220">
            <v>1</v>
          </cell>
          <cell r="P3220">
            <v>2703</v>
          </cell>
          <cell r="Q3220">
            <v>0</v>
          </cell>
          <cell r="R3220">
            <v>0</v>
          </cell>
          <cell r="S3220">
            <v>0</v>
          </cell>
          <cell r="T3220">
            <v>2</v>
          </cell>
          <cell r="U3220">
            <v>4.7666666703298688</v>
          </cell>
          <cell r="V3220">
            <v>12884.300009901635</v>
          </cell>
          <cell r="W3220">
            <v>0</v>
          </cell>
          <cell r="X3220">
            <v>0</v>
          </cell>
          <cell r="Y3220">
            <v>0</v>
          </cell>
          <cell r="Z3220">
            <v>9.5333333406597376</v>
          </cell>
        </row>
        <row r="3221">
          <cell r="C3221" t="str">
            <v>KIRKLARELİ</v>
          </cell>
          <cell r="D3221" t="str">
            <v>LÜLEBURGAZ</v>
          </cell>
          <cell r="H3221" t="str">
            <v>Dağıtım-OG</v>
          </cell>
          <cell r="I3221" t="str">
            <v>Uzun</v>
          </cell>
          <cell r="J3221" t="str">
            <v>Şebeke İşletmecisi</v>
          </cell>
          <cell r="K3221" t="str">
            <v>Bildirimsiz</v>
          </cell>
          <cell r="O3221">
            <v>8</v>
          </cell>
          <cell r="P3221">
            <v>2962</v>
          </cell>
          <cell r="Q3221">
            <v>18</v>
          </cell>
          <cell r="R3221">
            <v>1</v>
          </cell>
          <cell r="S3221">
            <v>13</v>
          </cell>
          <cell r="T3221">
            <v>39</v>
          </cell>
          <cell r="U3221">
            <v>38.13333336263895</v>
          </cell>
          <cell r="V3221">
            <v>14118.866677517071</v>
          </cell>
          <cell r="W3221">
            <v>85.800000065937638</v>
          </cell>
          <cell r="X3221">
            <v>4.7666666703298688</v>
          </cell>
          <cell r="Y3221">
            <v>61.966666714288294</v>
          </cell>
          <cell r="Z3221">
            <v>185.90000014286488</v>
          </cell>
        </row>
        <row r="3222">
          <cell r="C3222" t="str">
            <v>EDİRNE</v>
          </cell>
          <cell r="D3222" t="str">
            <v>UZUNKÖPRÜ</v>
          </cell>
          <cell r="H3222" t="str">
            <v>Dağıtım-OG</v>
          </cell>
          <cell r="I3222" t="str">
            <v>Uzun</v>
          </cell>
          <cell r="J3222" t="str">
            <v>Şebeke İşletmecisi</v>
          </cell>
          <cell r="K3222" t="str">
            <v>Bildirimsiz</v>
          </cell>
          <cell r="O3222">
            <v>1</v>
          </cell>
          <cell r="P3222">
            <v>2707</v>
          </cell>
          <cell r="Q3222">
            <v>0</v>
          </cell>
          <cell r="R3222">
            <v>0</v>
          </cell>
          <cell r="S3222">
            <v>0</v>
          </cell>
          <cell r="T3222">
            <v>2</v>
          </cell>
          <cell r="U3222">
            <v>4.7666666703298688</v>
          </cell>
          <cell r="V3222">
            <v>12903.366676582955</v>
          </cell>
          <cell r="W3222">
            <v>0</v>
          </cell>
          <cell r="X3222">
            <v>0</v>
          </cell>
          <cell r="Y3222">
            <v>0</v>
          </cell>
          <cell r="Z3222">
            <v>9.5333333406597376</v>
          </cell>
        </row>
        <row r="3223">
          <cell r="C3223" t="str">
            <v>TEKİRDAĞ</v>
          </cell>
          <cell r="D3223" t="str">
            <v>SÜLEYMANPAŞA</v>
          </cell>
          <cell r="H3223" t="str">
            <v>Dağıtım-AG</v>
          </cell>
          <cell r="I3223" t="str">
            <v>Uzun</v>
          </cell>
          <cell r="J3223" t="str">
            <v>Dışsal</v>
          </cell>
          <cell r="K3223" t="str">
            <v>Bildirimsiz</v>
          </cell>
          <cell r="O3223">
            <v>0</v>
          </cell>
          <cell r="P3223">
            <v>1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>
            <v>0</v>
          </cell>
          <cell r="V3223">
            <v>4.7499999997671694</v>
          </cell>
          <cell r="W3223">
            <v>0</v>
          </cell>
          <cell r="X3223">
            <v>0</v>
          </cell>
          <cell r="Y3223">
            <v>0</v>
          </cell>
          <cell r="Z3223">
            <v>0</v>
          </cell>
        </row>
        <row r="3224">
          <cell r="C3224" t="str">
            <v>TEKİRDAĞ</v>
          </cell>
          <cell r="D3224" t="str">
            <v>SARAY</v>
          </cell>
          <cell r="H3224" t="str">
            <v>Dağıtım-AG</v>
          </cell>
          <cell r="I3224" t="str">
            <v>Uzun</v>
          </cell>
          <cell r="J3224" t="str">
            <v>Şebeke işletmecisi</v>
          </cell>
          <cell r="K3224" t="str">
            <v>Bildirimsiz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1</v>
          </cell>
          <cell r="U3224">
            <v>0</v>
          </cell>
          <cell r="V3224">
            <v>0</v>
          </cell>
          <cell r="W3224">
            <v>0</v>
          </cell>
          <cell r="X3224">
            <v>0</v>
          </cell>
          <cell r="Y3224">
            <v>0</v>
          </cell>
          <cell r="Z3224">
            <v>4.7333333396818489</v>
          </cell>
        </row>
        <row r="3225">
          <cell r="C3225" t="str">
            <v>TEKİRDAĞ</v>
          </cell>
          <cell r="D3225" t="str">
            <v>SÜLEYMANPAŞA</v>
          </cell>
          <cell r="H3225" t="str">
            <v>Dağıtım-OG</v>
          </cell>
          <cell r="I3225" t="str">
            <v>Uzun</v>
          </cell>
          <cell r="J3225" t="str">
            <v>Şebeke İşletmecisi</v>
          </cell>
          <cell r="K3225" t="str">
            <v>Bildirimsiz</v>
          </cell>
          <cell r="O3225">
            <v>6</v>
          </cell>
          <cell r="P3225">
            <v>94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  <cell r="U3225">
            <v>28.39999997522682</v>
          </cell>
          <cell r="V3225">
            <v>444.93333294522017</v>
          </cell>
          <cell r="W3225">
            <v>0</v>
          </cell>
          <cell r="X3225">
            <v>0</v>
          </cell>
          <cell r="Y3225">
            <v>0</v>
          </cell>
          <cell r="Z3225">
            <v>0</v>
          </cell>
        </row>
        <row r="3226">
          <cell r="C3226" t="str">
            <v>KIRKLARELİ</v>
          </cell>
          <cell r="D3226" t="str">
            <v>PINARHİSAR</v>
          </cell>
          <cell r="H3226" t="str">
            <v>Dağıtım-OG</v>
          </cell>
          <cell r="I3226" t="str">
            <v>Uzun</v>
          </cell>
          <cell r="J3226" t="str">
            <v>Şebeke İşletmecisi</v>
          </cell>
          <cell r="K3226" t="str">
            <v>Bildirimsiz</v>
          </cell>
          <cell r="O3226">
            <v>0</v>
          </cell>
          <cell r="P3226">
            <v>0</v>
          </cell>
          <cell r="Q3226">
            <v>6</v>
          </cell>
          <cell r="R3226">
            <v>0</v>
          </cell>
          <cell r="S3226">
            <v>15</v>
          </cell>
          <cell r="T3226">
            <v>1890</v>
          </cell>
          <cell r="U3226">
            <v>0</v>
          </cell>
          <cell r="V3226">
            <v>0</v>
          </cell>
          <cell r="W3226">
            <v>28.1999999913387</v>
          </cell>
          <cell r="X3226">
            <v>0</v>
          </cell>
          <cell r="Y3226">
            <v>70.49999997834675</v>
          </cell>
          <cell r="Z3226">
            <v>8882.9999972716905</v>
          </cell>
        </row>
        <row r="3227">
          <cell r="C3227" t="str">
            <v>EDİRNE</v>
          </cell>
          <cell r="D3227" t="str">
            <v>MERİÇ</v>
          </cell>
          <cell r="H3227" t="str">
            <v>Dağıtım-AG</v>
          </cell>
          <cell r="I3227" t="str">
            <v>Uzun</v>
          </cell>
          <cell r="J3227" t="str">
            <v>Şebeke işletmecisi</v>
          </cell>
          <cell r="K3227" t="str">
            <v>Bildirimsiz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69</v>
          </cell>
          <cell r="U3227">
            <v>0</v>
          </cell>
          <cell r="V3227">
            <v>0</v>
          </cell>
          <cell r="W3227">
            <v>0</v>
          </cell>
          <cell r="X3227">
            <v>0</v>
          </cell>
          <cell r="Y3227">
            <v>0</v>
          </cell>
          <cell r="Z3227">
            <v>315.09999991860241</v>
          </cell>
        </row>
        <row r="3228">
          <cell r="C3228" t="str">
            <v>TEKİRDAĞ</v>
          </cell>
          <cell r="D3228" t="str">
            <v>HAYRABOLU</v>
          </cell>
          <cell r="H3228" t="str">
            <v>Dağıtım-AG</v>
          </cell>
          <cell r="I3228" t="str">
            <v>Uzun</v>
          </cell>
          <cell r="J3228" t="str">
            <v>Şebeke işletmecisi</v>
          </cell>
          <cell r="K3228" t="str">
            <v>Bildirimsiz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5</v>
          </cell>
          <cell r="U3228">
            <v>0</v>
          </cell>
          <cell r="V3228">
            <v>0</v>
          </cell>
          <cell r="W3228">
            <v>0</v>
          </cell>
          <cell r="X3228">
            <v>0</v>
          </cell>
          <cell r="Y3228">
            <v>0</v>
          </cell>
          <cell r="Z3228">
            <v>22.750000027008355</v>
          </cell>
        </row>
        <row r="3229">
          <cell r="C3229" t="str">
            <v>TEKİRDAĞ</v>
          </cell>
          <cell r="D3229" t="str">
            <v>SÜLEYMANPAŞA</v>
          </cell>
          <cell r="H3229" t="str">
            <v>Dağıtım-AG</v>
          </cell>
          <cell r="I3229" t="str">
            <v>Uzun</v>
          </cell>
          <cell r="J3229" t="str">
            <v>Şebeke işletmecisi</v>
          </cell>
          <cell r="K3229" t="str">
            <v>Bildirimsiz</v>
          </cell>
          <cell r="O3229">
            <v>0</v>
          </cell>
          <cell r="P3229">
            <v>101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  <cell r="U3229">
            <v>0</v>
          </cell>
          <cell r="V3229">
            <v>459.55000054556876</v>
          </cell>
          <cell r="W3229">
            <v>0</v>
          </cell>
          <cell r="X3229">
            <v>0</v>
          </cell>
          <cell r="Y3229">
            <v>0</v>
          </cell>
          <cell r="Z3229">
            <v>0</v>
          </cell>
        </row>
        <row r="3230">
          <cell r="C3230" t="str">
            <v>TEKİRDAĞ</v>
          </cell>
          <cell r="D3230" t="str">
            <v>MARMARAEREĞLİSİ</v>
          </cell>
          <cell r="H3230" t="str">
            <v>Dağıtım-AG</v>
          </cell>
          <cell r="I3230" t="str">
            <v>Uzun</v>
          </cell>
          <cell r="J3230" t="str">
            <v>Şebeke işletmecisi</v>
          </cell>
          <cell r="K3230" t="str">
            <v>Bildirimsiz</v>
          </cell>
          <cell r="O3230">
            <v>0</v>
          </cell>
          <cell r="P3230">
            <v>0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0</v>
          </cell>
          <cell r="W3230">
            <v>0</v>
          </cell>
          <cell r="X3230">
            <v>36.399999959394336</v>
          </cell>
          <cell r="Y3230">
            <v>0</v>
          </cell>
          <cell r="Z3230">
            <v>0</v>
          </cell>
        </row>
        <row r="3231">
          <cell r="C3231" t="str">
            <v>EDİRNE</v>
          </cell>
          <cell r="D3231" t="str">
            <v>EDİRNEMERKEZ</v>
          </cell>
          <cell r="H3231" t="str">
            <v>Dağıtım-AG</v>
          </cell>
          <cell r="I3231" t="str">
            <v>Uzun</v>
          </cell>
          <cell r="J3231" t="str">
            <v>Şebeke işletmecisi</v>
          </cell>
          <cell r="K3231" t="str">
            <v>Bildirimsiz</v>
          </cell>
          <cell r="O3231">
            <v>0</v>
          </cell>
          <cell r="P3231">
            <v>30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  <cell r="U3231">
            <v>0</v>
          </cell>
          <cell r="V3231">
            <v>136.00000004516914</v>
          </cell>
          <cell r="W3231">
            <v>0</v>
          </cell>
          <cell r="X3231">
            <v>0</v>
          </cell>
          <cell r="Y3231">
            <v>0</v>
          </cell>
          <cell r="Z3231">
            <v>0</v>
          </cell>
        </row>
        <row r="3232">
          <cell r="C3232" t="str">
            <v>EDİRNE</v>
          </cell>
          <cell r="D3232" t="str">
            <v>UZUNKÖPRÜ</v>
          </cell>
          <cell r="H3232" t="str">
            <v>Dağıtım-AG</v>
          </cell>
          <cell r="I3232" t="str">
            <v>Uzun</v>
          </cell>
          <cell r="J3232" t="str">
            <v>Şebeke işletmecisi</v>
          </cell>
          <cell r="K3232" t="str">
            <v>Bildirimsiz</v>
          </cell>
          <cell r="O3232">
            <v>0</v>
          </cell>
          <cell r="P3232">
            <v>26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>
            <v>0</v>
          </cell>
          <cell r="V3232">
            <v>117.43333354359493</v>
          </cell>
          <cell r="W3232">
            <v>0</v>
          </cell>
          <cell r="X3232">
            <v>0</v>
          </cell>
          <cell r="Y3232">
            <v>0</v>
          </cell>
          <cell r="Z3232">
            <v>0</v>
          </cell>
        </row>
        <row r="3233">
          <cell r="C3233" t="str">
            <v>KIRKLARELİ</v>
          </cell>
          <cell r="D3233" t="str">
            <v>KIRKLARELİMERKEZ</v>
          </cell>
          <cell r="H3233" t="str">
            <v>Dağıtım-OG</v>
          </cell>
          <cell r="I3233" t="str">
            <v>Uzun</v>
          </cell>
          <cell r="J3233" t="str">
            <v>Şebeke İşletmecisi</v>
          </cell>
          <cell r="K3233" t="str">
            <v>Bildirimsiz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2</v>
          </cell>
          <cell r="T3233">
            <v>129</v>
          </cell>
          <cell r="U3233">
            <v>0</v>
          </cell>
          <cell r="V3233">
            <v>0</v>
          </cell>
          <cell r="W3233">
            <v>0</v>
          </cell>
          <cell r="X3233">
            <v>0</v>
          </cell>
          <cell r="Y3233">
            <v>8.8999999850057065</v>
          </cell>
          <cell r="Z3233">
            <v>574.04999903286807</v>
          </cell>
        </row>
        <row r="3234">
          <cell r="C3234" t="str">
            <v>KIRKLARELİ</v>
          </cell>
          <cell r="D3234" t="str">
            <v>PINARHİSAR</v>
          </cell>
          <cell r="H3234" t="str">
            <v>Dağıtım-OG</v>
          </cell>
          <cell r="I3234" t="str">
            <v>Uzun</v>
          </cell>
          <cell r="J3234" t="str">
            <v>Şebeke İşletmecisi</v>
          </cell>
          <cell r="K3234" t="str">
            <v>Bildirimsiz</v>
          </cell>
          <cell r="O3234">
            <v>0</v>
          </cell>
          <cell r="P3234">
            <v>0</v>
          </cell>
          <cell r="Q3234">
            <v>6</v>
          </cell>
          <cell r="R3234">
            <v>0</v>
          </cell>
          <cell r="S3234">
            <v>15</v>
          </cell>
          <cell r="T3234">
            <v>1888</v>
          </cell>
          <cell r="U3234">
            <v>0</v>
          </cell>
          <cell r="V3234">
            <v>0</v>
          </cell>
          <cell r="W3234">
            <v>26.599999994505197</v>
          </cell>
          <cell r="X3234">
            <v>0</v>
          </cell>
          <cell r="Y3234">
            <v>66.499999986262992</v>
          </cell>
          <cell r="Z3234">
            <v>8370.1333316043019</v>
          </cell>
        </row>
        <row r="3235">
          <cell r="C3235" t="str">
            <v>TEKİRDAĞ</v>
          </cell>
          <cell r="D3235" t="str">
            <v>HAYRABOLU</v>
          </cell>
          <cell r="H3235" t="str">
            <v>Dağıtım-OG</v>
          </cell>
          <cell r="I3235" t="str">
            <v>Uzun</v>
          </cell>
          <cell r="J3235" t="str">
            <v>Şebeke İşletmecisi</v>
          </cell>
          <cell r="K3235" t="str">
            <v>Bildirimsiz</v>
          </cell>
          <cell r="O3235">
            <v>0</v>
          </cell>
          <cell r="P3235">
            <v>2</v>
          </cell>
          <cell r="Q3235">
            <v>0</v>
          </cell>
          <cell r="R3235">
            <v>1</v>
          </cell>
          <cell r="S3235">
            <v>8</v>
          </cell>
          <cell r="T3235">
            <v>958</v>
          </cell>
          <cell r="U3235">
            <v>0</v>
          </cell>
          <cell r="V3235">
            <v>8.8666666648350656</v>
          </cell>
          <cell r="W3235">
            <v>0</v>
          </cell>
          <cell r="X3235">
            <v>4.4333333324175328</v>
          </cell>
          <cell r="Y3235">
            <v>35.466666659340262</v>
          </cell>
          <cell r="Z3235">
            <v>4247.1333324559964</v>
          </cell>
        </row>
        <row r="3236">
          <cell r="C3236" t="str">
            <v>TEKİRDAĞ</v>
          </cell>
          <cell r="D3236" t="str">
            <v>SÜLEYMANPAŞA</v>
          </cell>
          <cell r="H3236" t="str">
            <v>Dağıtım-AG</v>
          </cell>
          <cell r="I3236" t="str">
            <v>Uzun</v>
          </cell>
          <cell r="J3236" t="str">
            <v>Şebeke işletmecisi</v>
          </cell>
          <cell r="K3236" t="str">
            <v>Bildirimsiz</v>
          </cell>
          <cell r="O3236">
            <v>0</v>
          </cell>
          <cell r="P3236">
            <v>16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  <cell r="U3236">
            <v>0</v>
          </cell>
          <cell r="V3236">
            <v>70.133333299309015</v>
          </cell>
          <cell r="W3236">
            <v>0</v>
          </cell>
          <cell r="X3236">
            <v>0</v>
          </cell>
          <cell r="Y3236">
            <v>0</v>
          </cell>
          <cell r="Z3236">
            <v>0</v>
          </cell>
        </row>
        <row r="3237">
          <cell r="C3237" t="str">
            <v>TEKİRDAĞ</v>
          </cell>
          <cell r="D3237" t="str">
            <v>ŞARKÖY</v>
          </cell>
          <cell r="H3237" t="str">
            <v>Dağıtım-AG</v>
          </cell>
          <cell r="I3237" t="str">
            <v>Uzun</v>
          </cell>
          <cell r="J3237" t="str">
            <v>Şebeke işletmecisi</v>
          </cell>
          <cell r="K3237" t="str">
            <v>Bildirimsiz</v>
          </cell>
          <cell r="O3237">
            <v>0</v>
          </cell>
          <cell r="P3237">
            <v>0</v>
          </cell>
          <cell r="Q3237">
            <v>0</v>
          </cell>
          <cell r="R3237">
            <v>283</v>
          </cell>
          <cell r="S3237">
            <v>0</v>
          </cell>
          <cell r="T3237">
            <v>0</v>
          </cell>
          <cell r="U3237">
            <v>0</v>
          </cell>
          <cell r="V3237">
            <v>0</v>
          </cell>
          <cell r="W3237">
            <v>0</v>
          </cell>
          <cell r="X3237">
            <v>1221.6166675847489</v>
          </cell>
          <cell r="Y3237">
            <v>0</v>
          </cell>
          <cell r="Z3237">
            <v>0</v>
          </cell>
        </row>
        <row r="3238">
          <cell r="C3238" t="str">
            <v>EDİRNE</v>
          </cell>
          <cell r="D3238" t="str">
            <v>UZUNKÖPRÜ</v>
          </cell>
          <cell r="H3238" t="str">
            <v>Dağıtım-AG</v>
          </cell>
          <cell r="I3238" t="str">
            <v>Uzun</v>
          </cell>
          <cell r="J3238" t="str">
            <v>Şebeke işletmecisi</v>
          </cell>
          <cell r="K3238" t="str">
            <v>Bildirimsiz</v>
          </cell>
          <cell r="O3238">
            <v>0</v>
          </cell>
          <cell r="P3238">
            <v>1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  <cell r="U3238">
            <v>0</v>
          </cell>
          <cell r="V3238">
            <v>4.2999999993480742</v>
          </cell>
          <cell r="W3238">
            <v>0</v>
          </cell>
          <cell r="X3238">
            <v>0</v>
          </cell>
          <cell r="Y3238">
            <v>0</v>
          </cell>
          <cell r="Z3238">
            <v>0</v>
          </cell>
        </row>
        <row r="3239">
          <cell r="C3239" t="str">
            <v>EDİRNE</v>
          </cell>
          <cell r="D3239" t="str">
            <v>HAVSA</v>
          </cell>
          <cell r="H3239" t="str">
            <v>Dağıtım-OG</v>
          </cell>
          <cell r="I3239" t="str">
            <v>Uzun</v>
          </cell>
          <cell r="J3239" t="str">
            <v>Şebeke İşletmecisi</v>
          </cell>
          <cell r="K3239" t="str">
            <v>Bildirimsiz</v>
          </cell>
          <cell r="O3239">
            <v>0</v>
          </cell>
          <cell r="P3239">
            <v>0</v>
          </cell>
          <cell r="Q3239">
            <v>4</v>
          </cell>
          <cell r="R3239">
            <v>4</v>
          </cell>
          <cell r="S3239">
            <v>1</v>
          </cell>
          <cell r="T3239">
            <v>0</v>
          </cell>
          <cell r="U3239">
            <v>0</v>
          </cell>
          <cell r="V3239">
            <v>0</v>
          </cell>
          <cell r="W3239">
            <v>17.066666674800217</v>
          </cell>
          <cell r="X3239">
            <v>17.066666674800217</v>
          </cell>
          <cell r="Y3239">
            <v>4.2666666687000543</v>
          </cell>
          <cell r="Z3239">
            <v>0</v>
          </cell>
        </row>
        <row r="3240">
          <cell r="C3240" t="str">
            <v>TEKİRDAĞ</v>
          </cell>
          <cell r="D3240" t="str">
            <v>SÜLEYMANPAŞA</v>
          </cell>
          <cell r="H3240" t="str">
            <v>Dağıtım-OG</v>
          </cell>
          <cell r="I3240" t="str">
            <v>Uzun</v>
          </cell>
          <cell r="J3240" t="str">
            <v>Şebeke İşletmecisi</v>
          </cell>
          <cell r="K3240" t="str">
            <v>Bildirimsiz</v>
          </cell>
          <cell r="O3240">
            <v>0</v>
          </cell>
          <cell r="P3240">
            <v>1697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  <cell r="U3240">
            <v>0</v>
          </cell>
          <cell r="V3240">
            <v>7240.5333367839921</v>
          </cell>
          <cell r="W3240">
            <v>0</v>
          </cell>
          <cell r="X3240">
            <v>0</v>
          </cell>
          <cell r="Y3240">
            <v>0</v>
          </cell>
          <cell r="Z3240">
            <v>0</v>
          </cell>
        </row>
        <row r="3241">
          <cell r="C3241" t="str">
            <v>KIRKLARELİ</v>
          </cell>
          <cell r="D3241" t="str">
            <v>VİZE</v>
          </cell>
          <cell r="H3241" t="str">
            <v>Dağıtım-AG</v>
          </cell>
          <cell r="I3241" t="str">
            <v>Uzun</v>
          </cell>
          <cell r="J3241" t="str">
            <v>Şebeke işletmecisi</v>
          </cell>
          <cell r="K3241" t="str">
            <v>Bildirimsiz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2</v>
          </cell>
          <cell r="U3241">
            <v>0</v>
          </cell>
          <cell r="V3241">
            <v>0</v>
          </cell>
          <cell r="W3241">
            <v>0</v>
          </cell>
          <cell r="X3241">
            <v>0</v>
          </cell>
          <cell r="Y3241">
            <v>0</v>
          </cell>
          <cell r="Z3241">
            <v>8.4999999962747097</v>
          </cell>
        </row>
        <row r="3242">
          <cell r="C3242" t="str">
            <v>EDİRNE</v>
          </cell>
          <cell r="D3242" t="str">
            <v>EDİRNEMERKEZ</v>
          </cell>
          <cell r="H3242" t="str">
            <v>Dağıtım-AG</v>
          </cell>
          <cell r="I3242" t="str">
            <v>Uzun</v>
          </cell>
          <cell r="J3242" t="str">
            <v>Şebeke işletmecisi</v>
          </cell>
          <cell r="K3242" t="str">
            <v>Bildirimsiz</v>
          </cell>
          <cell r="O3242">
            <v>0</v>
          </cell>
          <cell r="P3242">
            <v>191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  <cell r="U3242">
            <v>0</v>
          </cell>
          <cell r="V3242">
            <v>808.56666756793857</v>
          </cell>
          <cell r="W3242">
            <v>0</v>
          </cell>
          <cell r="X3242">
            <v>0</v>
          </cell>
          <cell r="Y3242">
            <v>0</v>
          </cell>
          <cell r="Z3242">
            <v>0</v>
          </cell>
        </row>
        <row r="3243">
          <cell r="C3243" t="str">
            <v>KIRKLARELİ</v>
          </cell>
          <cell r="D3243" t="str">
            <v>KIRKLARELİMERKEZ</v>
          </cell>
          <cell r="H3243" t="str">
            <v>Dağıtım-OG</v>
          </cell>
          <cell r="I3243" t="str">
            <v>Uzun</v>
          </cell>
          <cell r="J3243" t="str">
            <v>Şebeke İşletmecisi</v>
          </cell>
          <cell r="K3243" t="str">
            <v>Bildirimsiz</v>
          </cell>
          <cell r="O3243">
            <v>0</v>
          </cell>
          <cell r="P3243">
            <v>0</v>
          </cell>
          <cell r="Q3243">
            <v>1</v>
          </cell>
          <cell r="R3243">
            <v>0</v>
          </cell>
          <cell r="S3243">
            <v>26</v>
          </cell>
          <cell r="T3243">
            <v>907</v>
          </cell>
          <cell r="U3243">
            <v>0</v>
          </cell>
          <cell r="V3243">
            <v>0</v>
          </cell>
          <cell r="W3243">
            <v>4.216666657011956</v>
          </cell>
          <cell r="X3243">
            <v>0</v>
          </cell>
          <cell r="Y3243">
            <v>109.63333308231086</v>
          </cell>
          <cell r="Z3243">
            <v>3824.5166579098441</v>
          </cell>
        </row>
        <row r="3244">
          <cell r="C3244" t="str">
            <v>KIRKLARELİ</v>
          </cell>
          <cell r="D3244" t="str">
            <v>VİZE</v>
          </cell>
          <cell r="H3244" t="str">
            <v>Dağıtım-AG</v>
          </cell>
          <cell r="I3244" t="str">
            <v>Uzun</v>
          </cell>
          <cell r="J3244" t="str">
            <v>Şebeke işletmecisi</v>
          </cell>
          <cell r="K3244" t="str">
            <v>Bildirimsiz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4</v>
          </cell>
          <cell r="U3244">
            <v>0</v>
          </cell>
          <cell r="V3244">
            <v>0</v>
          </cell>
          <cell r="W3244">
            <v>0</v>
          </cell>
          <cell r="X3244">
            <v>0</v>
          </cell>
          <cell r="Y3244">
            <v>0</v>
          </cell>
          <cell r="Z3244">
            <v>16.799999987706542</v>
          </cell>
        </row>
        <row r="3245">
          <cell r="C3245" t="str">
            <v>EDİRNE</v>
          </cell>
          <cell r="D3245" t="str">
            <v>KEŞAN</v>
          </cell>
          <cell r="H3245" t="str">
            <v>Dağıtım-OG</v>
          </cell>
          <cell r="I3245" t="str">
            <v>Uzun</v>
          </cell>
          <cell r="J3245" t="str">
            <v>Şebeke işletmecisi</v>
          </cell>
          <cell r="K3245" t="str">
            <v>Bildirimsiz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1</v>
          </cell>
          <cell r="T3245">
            <v>0</v>
          </cell>
          <cell r="U3245">
            <v>0</v>
          </cell>
          <cell r="V3245">
            <v>0</v>
          </cell>
          <cell r="W3245">
            <v>0</v>
          </cell>
          <cell r="X3245">
            <v>0</v>
          </cell>
          <cell r="Y3245">
            <v>4.1999999969266355</v>
          </cell>
          <cell r="Z3245">
            <v>0</v>
          </cell>
        </row>
        <row r="3246">
          <cell r="C3246" t="str">
            <v>EDİRNE</v>
          </cell>
          <cell r="D3246" t="str">
            <v>İPSALA</v>
          </cell>
          <cell r="H3246" t="str">
            <v>Dağıtım-OG</v>
          </cell>
          <cell r="I3246" t="str">
            <v>Uzun</v>
          </cell>
          <cell r="J3246" t="str">
            <v>Şebeke İşletmecisi</v>
          </cell>
          <cell r="K3246" t="str">
            <v>Bildirimsiz</v>
          </cell>
          <cell r="O3246">
            <v>0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T3246">
            <v>229</v>
          </cell>
          <cell r="U3246">
            <v>0</v>
          </cell>
          <cell r="V3246">
            <v>0</v>
          </cell>
          <cell r="W3246">
            <v>0</v>
          </cell>
          <cell r="X3246">
            <v>0</v>
          </cell>
          <cell r="Y3246">
            <v>0</v>
          </cell>
          <cell r="Z3246">
            <v>957.98333173734136</v>
          </cell>
        </row>
        <row r="3247">
          <cell r="C3247" t="str">
            <v>EDİRNE</v>
          </cell>
          <cell r="D3247" t="str">
            <v>İPSALA</v>
          </cell>
          <cell r="H3247" t="str">
            <v>Dağıtım-OG</v>
          </cell>
          <cell r="I3247" t="str">
            <v>Uzun</v>
          </cell>
          <cell r="J3247" t="str">
            <v>Şebeke İşletmecisi</v>
          </cell>
          <cell r="K3247" t="str">
            <v>Bildirimsiz</v>
          </cell>
          <cell r="O3247">
            <v>0</v>
          </cell>
          <cell r="P3247">
            <v>0</v>
          </cell>
          <cell r="Q3247">
            <v>3</v>
          </cell>
          <cell r="R3247">
            <v>0</v>
          </cell>
          <cell r="S3247">
            <v>39</v>
          </cell>
          <cell r="T3247">
            <v>0</v>
          </cell>
          <cell r="U3247">
            <v>0</v>
          </cell>
          <cell r="V3247">
            <v>0</v>
          </cell>
          <cell r="W3247">
            <v>12.499999998835847</v>
          </cell>
          <cell r="X3247">
            <v>0</v>
          </cell>
          <cell r="Y3247">
            <v>162.49999998486601</v>
          </cell>
          <cell r="Z3247">
            <v>0</v>
          </cell>
        </row>
        <row r="3248">
          <cell r="C3248" t="str">
            <v>EDİRNE</v>
          </cell>
          <cell r="D3248" t="str">
            <v>UZUNKÖPRÜ</v>
          </cell>
          <cell r="H3248" t="str">
            <v>Dağıtım-OG</v>
          </cell>
          <cell r="I3248" t="str">
            <v>Uzun</v>
          </cell>
          <cell r="J3248" t="str">
            <v>Şebeke İşletmecisi</v>
          </cell>
          <cell r="K3248" t="str">
            <v>Bildirimsiz</v>
          </cell>
          <cell r="O3248">
            <v>3</v>
          </cell>
          <cell r="P3248">
            <v>0</v>
          </cell>
          <cell r="Q3248">
            <v>0</v>
          </cell>
          <cell r="R3248">
            <v>0</v>
          </cell>
          <cell r="S3248">
            <v>6</v>
          </cell>
          <cell r="T3248">
            <v>0</v>
          </cell>
          <cell r="U3248">
            <v>12.400000006891787</v>
          </cell>
          <cell r="V3248">
            <v>0</v>
          </cell>
          <cell r="W3248">
            <v>0</v>
          </cell>
          <cell r="X3248">
            <v>0</v>
          </cell>
          <cell r="Y3248">
            <v>24.800000013783574</v>
          </cell>
          <cell r="Z3248">
            <v>0</v>
          </cell>
        </row>
        <row r="3249">
          <cell r="C3249" t="str">
            <v>EDİRNE</v>
          </cell>
          <cell r="D3249" t="str">
            <v>KEŞAN</v>
          </cell>
          <cell r="H3249" t="str">
            <v>Dağıtım-OG</v>
          </cell>
          <cell r="I3249" t="str">
            <v>Uzun</v>
          </cell>
          <cell r="J3249" t="str">
            <v>Şebeke işletmecisi</v>
          </cell>
          <cell r="K3249" t="str">
            <v>Bildirimsiz</v>
          </cell>
          <cell r="O3249">
            <v>0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T3249">
            <v>355</v>
          </cell>
          <cell r="U3249">
            <v>0</v>
          </cell>
          <cell r="V3249">
            <v>0</v>
          </cell>
          <cell r="W3249">
            <v>0</v>
          </cell>
          <cell r="X3249">
            <v>0</v>
          </cell>
          <cell r="Y3249">
            <v>0</v>
          </cell>
          <cell r="Z3249">
            <v>1461.4166660991032</v>
          </cell>
        </row>
        <row r="3250">
          <cell r="C3250" t="str">
            <v>KIRKLARELİ</v>
          </cell>
          <cell r="D3250" t="str">
            <v>KIRKLARELİMERKEZ</v>
          </cell>
          <cell r="H3250" t="str">
            <v>Dağıtım-OG</v>
          </cell>
          <cell r="I3250" t="str">
            <v>Uzun</v>
          </cell>
          <cell r="J3250" t="str">
            <v>Şebeke İşletmecisi</v>
          </cell>
          <cell r="K3250" t="str">
            <v>Bildirimsiz</v>
          </cell>
          <cell r="O3250">
            <v>1</v>
          </cell>
          <cell r="P3250">
            <v>26</v>
          </cell>
          <cell r="Q3250">
            <v>14</v>
          </cell>
          <cell r="R3250">
            <v>1454</v>
          </cell>
          <cell r="S3250">
            <v>2</v>
          </cell>
          <cell r="T3250">
            <v>312</v>
          </cell>
          <cell r="U3250">
            <v>4.1000000049825758</v>
          </cell>
          <cell r="V3250">
            <v>106.60000012954697</v>
          </cell>
          <cell r="W3250">
            <v>57.400000069756061</v>
          </cell>
          <cell r="X3250">
            <v>5961.4000072446652</v>
          </cell>
          <cell r="Y3250">
            <v>8.2000000099651515</v>
          </cell>
          <cell r="Z3250">
            <v>1279.2000015545636</v>
          </cell>
        </row>
        <row r="3251">
          <cell r="C3251" t="str">
            <v>KIRKLARELİ</v>
          </cell>
          <cell r="D3251" t="str">
            <v>BABAESKİ</v>
          </cell>
          <cell r="H3251" t="str">
            <v>Dağıtım-AG</v>
          </cell>
          <cell r="I3251" t="str">
            <v>Uzun</v>
          </cell>
          <cell r="J3251" t="str">
            <v>Şebeke işletmecisi</v>
          </cell>
          <cell r="K3251" t="str">
            <v>Bildirimsiz</v>
          </cell>
          <cell r="O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T3251">
            <v>29</v>
          </cell>
          <cell r="U3251">
            <v>0</v>
          </cell>
          <cell r="V3251">
            <v>0</v>
          </cell>
          <cell r="W3251">
            <v>0</v>
          </cell>
          <cell r="X3251">
            <v>0</v>
          </cell>
          <cell r="Y3251">
            <v>0</v>
          </cell>
          <cell r="Z3251">
            <v>118.9000001444947</v>
          </cell>
        </row>
        <row r="3252">
          <cell r="C3252" t="str">
            <v>EDİRNE</v>
          </cell>
          <cell r="D3252" t="str">
            <v>MERİÇ</v>
          </cell>
          <cell r="H3252" t="str">
            <v>Dağıtım-OG</v>
          </cell>
          <cell r="I3252" t="str">
            <v>Uzun</v>
          </cell>
          <cell r="J3252" t="str">
            <v>Şebeke İşletmecisi</v>
          </cell>
          <cell r="K3252" t="str">
            <v>Bildirimsiz</v>
          </cell>
          <cell r="O3252">
            <v>0</v>
          </cell>
          <cell r="P3252">
            <v>0</v>
          </cell>
          <cell r="Q3252">
            <v>0</v>
          </cell>
          <cell r="R3252">
            <v>1</v>
          </cell>
          <cell r="S3252">
            <v>4</v>
          </cell>
          <cell r="T3252">
            <v>478</v>
          </cell>
          <cell r="U3252">
            <v>0</v>
          </cell>
          <cell r="V3252">
            <v>0</v>
          </cell>
          <cell r="W3252">
            <v>0</v>
          </cell>
          <cell r="X3252">
            <v>4.0999999945051968</v>
          </cell>
          <cell r="Y3252">
            <v>16.399999978020787</v>
          </cell>
          <cell r="Z3252">
            <v>1959.7999973734841</v>
          </cell>
        </row>
        <row r="3253">
          <cell r="C3253" t="str">
            <v>KIRKLARELİ</v>
          </cell>
          <cell r="D3253" t="str">
            <v>LÜLEBURGAZ</v>
          </cell>
          <cell r="H3253" t="str">
            <v>Dağıtım-OG</v>
          </cell>
          <cell r="I3253" t="str">
            <v>Uzun</v>
          </cell>
          <cell r="J3253" t="str">
            <v>Şebeke İşletmecisi</v>
          </cell>
          <cell r="K3253" t="str">
            <v>Bildirimsiz</v>
          </cell>
          <cell r="O3253">
            <v>0</v>
          </cell>
          <cell r="P3253">
            <v>7067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  <cell r="U3253">
            <v>0</v>
          </cell>
          <cell r="V3253">
            <v>28856.916674345266</v>
          </cell>
          <cell r="W3253">
            <v>0</v>
          </cell>
          <cell r="X3253">
            <v>0</v>
          </cell>
          <cell r="Y3253">
            <v>0</v>
          </cell>
          <cell r="Z3253">
            <v>0</v>
          </cell>
        </row>
        <row r="3254">
          <cell r="C3254" t="str">
            <v>TEKİRDAĞ</v>
          </cell>
          <cell r="D3254" t="str">
            <v>MURATLI</v>
          </cell>
          <cell r="H3254" t="str">
            <v>Dağıtım-AG</v>
          </cell>
          <cell r="I3254" t="str">
            <v>Uzun</v>
          </cell>
          <cell r="J3254" t="str">
            <v>Şebeke işletmecisi</v>
          </cell>
          <cell r="K3254" t="str">
            <v>Bildirimsiz</v>
          </cell>
          <cell r="O3254">
            <v>0</v>
          </cell>
          <cell r="P3254">
            <v>12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>
            <v>0</v>
          </cell>
          <cell r="V3254">
            <v>48.799999966286123</v>
          </cell>
          <cell r="W3254">
            <v>0</v>
          </cell>
          <cell r="X3254">
            <v>0</v>
          </cell>
          <cell r="Y3254">
            <v>0</v>
          </cell>
          <cell r="Z3254">
            <v>0</v>
          </cell>
        </row>
        <row r="3255">
          <cell r="C3255" t="str">
            <v>KIRKLARELİ</v>
          </cell>
          <cell r="D3255" t="str">
            <v>KIRKLARELİMERKEZ</v>
          </cell>
          <cell r="H3255" t="str">
            <v>Dağıtım-OG</v>
          </cell>
          <cell r="I3255" t="str">
            <v>Uzun</v>
          </cell>
          <cell r="J3255" t="str">
            <v>Şebeke İşletmecisi</v>
          </cell>
          <cell r="K3255" t="str">
            <v>Bildirimsiz</v>
          </cell>
          <cell r="O3255">
            <v>9</v>
          </cell>
          <cell r="P3255">
            <v>321</v>
          </cell>
          <cell r="Q3255">
            <v>3</v>
          </cell>
          <cell r="R3255">
            <v>9</v>
          </cell>
          <cell r="S3255">
            <v>1</v>
          </cell>
          <cell r="T3255">
            <v>0</v>
          </cell>
          <cell r="U3255">
            <v>36.450000033946708</v>
          </cell>
          <cell r="V3255">
            <v>1300.0500012107659</v>
          </cell>
          <cell r="W3255">
            <v>12.150000011315569</v>
          </cell>
          <cell r="X3255">
            <v>36.450000033946708</v>
          </cell>
          <cell r="Y3255">
            <v>4.0500000037718564</v>
          </cell>
          <cell r="Z3255">
            <v>0</v>
          </cell>
        </row>
        <row r="3256">
          <cell r="C3256" t="str">
            <v>KIRKLARELİ</v>
          </cell>
          <cell r="D3256" t="str">
            <v>BABAESKİ</v>
          </cell>
          <cell r="H3256" t="str">
            <v>Dağıtım-OG</v>
          </cell>
          <cell r="I3256" t="str">
            <v>Uzun</v>
          </cell>
          <cell r="J3256" t="str">
            <v>Şebeke İşletmecisi</v>
          </cell>
          <cell r="K3256" t="str">
            <v>Bildirimsiz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1</v>
          </cell>
          <cell r="T3256">
            <v>372</v>
          </cell>
          <cell r="U3256">
            <v>0</v>
          </cell>
          <cell r="V3256">
            <v>0</v>
          </cell>
          <cell r="W3256">
            <v>0</v>
          </cell>
          <cell r="X3256">
            <v>0</v>
          </cell>
          <cell r="Y3256">
            <v>4.033333333209157</v>
          </cell>
          <cell r="Z3256">
            <v>1500.3999999538064</v>
          </cell>
        </row>
        <row r="3257">
          <cell r="C3257" t="str">
            <v>TEKİRDAĞ</v>
          </cell>
          <cell r="D3257" t="str">
            <v>ÇERKEZKÖY</v>
          </cell>
          <cell r="H3257" t="str">
            <v>Dağıtım-OG</v>
          </cell>
          <cell r="I3257" t="str">
            <v>Uzun</v>
          </cell>
          <cell r="J3257" t="str">
            <v>Şebeke işletmecisi</v>
          </cell>
          <cell r="K3257" t="str">
            <v>Bildirimsiz</v>
          </cell>
          <cell r="O3257">
            <v>5</v>
          </cell>
          <cell r="P3257">
            <v>4723</v>
          </cell>
          <cell r="Q3257">
            <v>0</v>
          </cell>
          <cell r="R3257">
            <v>4</v>
          </cell>
          <cell r="S3257">
            <v>0</v>
          </cell>
          <cell r="T3257">
            <v>0</v>
          </cell>
          <cell r="U3257">
            <v>20.166666666045785</v>
          </cell>
          <cell r="V3257">
            <v>19049.433332746848</v>
          </cell>
          <cell r="W3257">
            <v>0</v>
          </cell>
          <cell r="X3257">
            <v>16.133333332836628</v>
          </cell>
          <cell r="Y3257">
            <v>0</v>
          </cell>
          <cell r="Z3257">
            <v>0</v>
          </cell>
        </row>
        <row r="3258">
          <cell r="C3258" t="str">
            <v>EDİRNE</v>
          </cell>
          <cell r="D3258" t="str">
            <v>UZUNKÖPRÜ</v>
          </cell>
          <cell r="H3258" t="str">
            <v>Dağıtım-OG</v>
          </cell>
          <cell r="I3258" t="str">
            <v>Uzun</v>
          </cell>
          <cell r="J3258" t="str">
            <v>Şebeke İşletmecisi</v>
          </cell>
          <cell r="K3258" t="str">
            <v>Bildirimsiz</v>
          </cell>
          <cell r="O3258">
            <v>11</v>
          </cell>
          <cell r="P3258">
            <v>611</v>
          </cell>
          <cell r="Q3258">
            <v>8</v>
          </cell>
          <cell r="R3258">
            <v>1668</v>
          </cell>
          <cell r="S3258">
            <v>10</v>
          </cell>
          <cell r="T3258">
            <v>403</v>
          </cell>
          <cell r="U3258">
            <v>43.816666651982814</v>
          </cell>
          <cell r="V3258">
            <v>2433.8166658510454</v>
          </cell>
          <cell r="W3258">
            <v>31.866666655987501</v>
          </cell>
          <cell r="X3258">
            <v>6644.199997773394</v>
          </cell>
          <cell r="Y3258">
            <v>39.833333319984376</v>
          </cell>
          <cell r="Z3258">
            <v>1605.2833327953704</v>
          </cell>
        </row>
        <row r="3259">
          <cell r="C3259" t="str">
            <v>EDİRNE</v>
          </cell>
          <cell r="D3259" t="str">
            <v>UZUNKÖPRÜ</v>
          </cell>
          <cell r="H3259" t="str">
            <v>Dağıtım-OG</v>
          </cell>
          <cell r="I3259" t="str">
            <v>Uzun</v>
          </cell>
          <cell r="J3259" t="str">
            <v>Şebeke İşletmecisi</v>
          </cell>
          <cell r="K3259" t="str">
            <v>Bildirimsiz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8</v>
          </cell>
          <cell r="T3259">
            <v>1052</v>
          </cell>
          <cell r="U3259">
            <v>0</v>
          </cell>
          <cell r="V3259">
            <v>0</v>
          </cell>
          <cell r="W3259">
            <v>0</v>
          </cell>
          <cell r="X3259">
            <v>0</v>
          </cell>
          <cell r="Y3259">
            <v>31.733333375304937</v>
          </cell>
          <cell r="Z3259">
            <v>4172.9333388525993</v>
          </cell>
        </row>
        <row r="3260">
          <cell r="C3260" t="str">
            <v>EDİRNE</v>
          </cell>
          <cell r="D3260" t="str">
            <v>UZUNKÖPRÜ</v>
          </cell>
          <cell r="H3260" t="str">
            <v>Dağıtım-AG</v>
          </cell>
          <cell r="I3260" t="str">
            <v>Uzun</v>
          </cell>
          <cell r="J3260" t="str">
            <v>Şebeke işletmecisi</v>
          </cell>
          <cell r="K3260" t="str">
            <v>Bildirimsiz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37</v>
          </cell>
          <cell r="U3260">
            <v>0</v>
          </cell>
          <cell r="V3260">
            <v>0</v>
          </cell>
          <cell r="W3260">
            <v>0</v>
          </cell>
          <cell r="X3260">
            <v>0</v>
          </cell>
          <cell r="Y3260">
            <v>0</v>
          </cell>
          <cell r="Z3260">
            <v>146.76666647312231</v>
          </cell>
        </row>
        <row r="3261">
          <cell r="C3261" t="str">
            <v>TEKİRDAĞ</v>
          </cell>
          <cell r="D3261" t="str">
            <v>ÇERKEZKÖY</v>
          </cell>
          <cell r="H3261" t="str">
            <v>Dağıtım-AG</v>
          </cell>
          <cell r="I3261" t="str">
            <v>Uzun</v>
          </cell>
          <cell r="J3261" t="str">
            <v>Şebeke işletmecisi</v>
          </cell>
          <cell r="K3261" t="str">
            <v>Bildirimsiz</v>
          </cell>
          <cell r="O3261">
            <v>0</v>
          </cell>
          <cell r="P3261">
            <v>138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  <cell r="U3261">
            <v>0</v>
          </cell>
          <cell r="V3261">
            <v>547.39999927813187</v>
          </cell>
          <cell r="W3261">
            <v>0</v>
          </cell>
          <cell r="X3261">
            <v>0</v>
          </cell>
          <cell r="Y3261">
            <v>0</v>
          </cell>
          <cell r="Z3261">
            <v>0</v>
          </cell>
        </row>
        <row r="3262">
          <cell r="C3262" t="str">
            <v>TEKİRDAĞ</v>
          </cell>
          <cell r="D3262" t="str">
            <v>MARMARAEREĞLİSİ</v>
          </cell>
          <cell r="H3262" t="str">
            <v>Dağıtım-AG</v>
          </cell>
          <cell r="I3262" t="str">
            <v>Uzun</v>
          </cell>
          <cell r="J3262" t="str">
            <v>Şebeke işletmecisi</v>
          </cell>
          <cell r="K3262" t="str">
            <v>Bildirimsiz</v>
          </cell>
          <cell r="O3262">
            <v>0</v>
          </cell>
          <cell r="P3262">
            <v>1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  <cell r="U3262">
            <v>0</v>
          </cell>
          <cell r="V3262">
            <v>3.9500000013504177</v>
          </cell>
          <cell r="W3262">
            <v>0</v>
          </cell>
          <cell r="X3262">
            <v>0</v>
          </cell>
          <cell r="Y3262">
            <v>0</v>
          </cell>
          <cell r="Z3262">
            <v>0</v>
          </cell>
        </row>
        <row r="3263">
          <cell r="C3263" t="str">
            <v>TEKİRDAĞ</v>
          </cell>
          <cell r="D3263" t="str">
            <v>SÜLEYMANPAŞA</v>
          </cell>
          <cell r="H3263" t="str">
            <v>Dağıtım-AG</v>
          </cell>
          <cell r="I3263" t="str">
            <v>Uzun</v>
          </cell>
          <cell r="J3263" t="str">
            <v>Şebeke işletmecisi</v>
          </cell>
          <cell r="K3263" t="str">
            <v>Bildirimsiz</v>
          </cell>
          <cell r="O3263">
            <v>0</v>
          </cell>
          <cell r="P3263">
            <v>6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  <cell r="U3263">
            <v>0</v>
          </cell>
          <cell r="V3263">
            <v>23.499999961350113</v>
          </cell>
          <cell r="W3263">
            <v>0</v>
          </cell>
          <cell r="X3263">
            <v>0</v>
          </cell>
          <cell r="Y3263">
            <v>0</v>
          </cell>
          <cell r="Z3263">
            <v>0</v>
          </cell>
        </row>
        <row r="3264">
          <cell r="C3264" t="str">
            <v>KIRKLARELİ</v>
          </cell>
          <cell r="D3264" t="str">
            <v>LÜLEBURGAZ</v>
          </cell>
          <cell r="H3264" t="str">
            <v>Dağıtım-AG</v>
          </cell>
          <cell r="I3264" t="str">
            <v>Uzun</v>
          </cell>
          <cell r="J3264" t="str">
            <v>Şebeke işletmecisi</v>
          </cell>
          <cell r="K3264" t="str">
            <v>Bildirimsiz</v>
          </cell>
          <cell r="O3264">
            <v>0</v>
          </cell>
          <cell r="P3264">
            <v>36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>
            <v>0</v>
          </cell>
          <cell r="V3264">
            <v>138.59999996144325</v>
          </cell>
          <cell r="W3264">
            <v>0</v>
          </cell>
          <cell r="X3264">
            <v>0</v>
          </cell>
          <cell r="Y3264">
            <v>0</v>
          </cell>
          <cell r="Z3264">
            <v>0</v>
          </cell>
        </row>
        <row r="3265">
          <cell r="C3265" t="str">
            <v>TEKİRDAĞ</v>
          </cell>
          <cell r="D3265" t="str">
            <v>ÇERKEZKÖY</v>
          </cell>
          <cell r="H3265" t="str">
            <v>Dağıtım-AG</v>
          </cell>
          <cell r="I3265" t="str">
            <v>Uzun</v>
          </cell>
          <cell r="J3265" t="str">
            <v>Şebeke işletmecisi</v>
          </cell>
          <cell r="K3265" t="str">
            <v>Bildirimsiz</v>
          </cell>
          <cell r="O3265">
            <v>0</v>
          </cell>
          <cell r="P3265">
            <v>456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  <cell r="U3265">
            <v>0</v>
          </cell>
          <cell r="V3265">
            <v>1755.5999995116144</v>
          </cell>
          <cell r="W3265">
            <v>0</v>
          </cell>
          <cell r="X3265">
            <v>0</v>
          </cell>
          <cell r="Y3265">
            <v>0</v>
          </cell>
          <cell r="Z3265">
            <v>0</v>
          </cell>
        </row>
        <row r="3266">
          <cell r="C3266" t="str">
            <v>EDİRNE</v>
          </cell>
          <cell r="D3266" t="str">
            <v>LALAPAŞA</v>
          </cell>
          <cell r="H3266" t="str">
            <v>Dağıtım-OG</v>
          </cell>
          <cell r="I3266" t="str">
            <v>Uzun</v>
          </cell>
          <cell r="J3266" t="str">
            <v>Şebeke İşletmecisi</v>
          </cell>
          <cell r="K3266" t="str">
            <v>Bildirimsiz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8</v>
          </cell>
          <cell r="T3266">
            <v>99</v>
          </cell>
          <cell r="U3266">
            <v>0</v>
          </cell>
          <cell r="V3266">
            <v>0</v>
          </cell>
          <cell r="W3266">
            <v>0</v>
          </cell>
          <cell r="X3266">
            <v>0</v>
          </cell>
          <cell r="Y3266">
            <v>30.666666626930237</v>
          </cell>
          <cell r="Z3266">
            <v>379.49999950826168</v>
          </cell>
        </row>
        <row r="3267">
          <cell r="C3267" t="str">
            <v>TEKİRDAĞ</v>
          </cell>
          <cell r="D3267" t="str">
            <v>ŞARKÖY</v>
          </cell>
          <cell r="H3267" t="str">
            <v>Dağıtım-AG</v>
          </cell>
          <cell r="I3267" t="str">
            <v>Uzun</v>
          </cell>
          <cell r="J3267" t="str">
            <v>Şebeke işletmecisi</v>
          </cell>
          <cell r="K3267" t="str">
            <v>Bildirimsiz</v>
          </cell>
          <cell r="O3267">
            <v>0</v>
          </cell>
          <cell r="P3267">
            <v>0</v>
          </cell>
          <cell r="Q3267">
            <v>0</v>
          </cell>
          <cell r="R3267">
            <v>7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26.716666677966714</v>
          </cell>
          <cell r="Y3267">
            <v>0</v>
          </cell>
          <cell r="Z3267">
            <v>0</v>
          </cell>
        </row>
        <row r="3268">
          <cell r="C3268" t="str">
            <v>TEKİRDAĞ</v>
          </cell>
          <cell r="D3268" t="str">
            <v>MARMARAEREĞLİSİ</v>
          </cell>
          <cell r="H3268" t="str">
            <v>Dağıtım-AG</v>
          </cell>
          <cell r="I3268" t="str">
            <v>Uzun</v>
          </cell>
          <cell r="J3268" t="str">
            <v>Şebeke işletmecisi</v>
          </cell>
          <cell r="K3268" t="str">
            <v>Bildirimsiz</v>
          </cell>
          <cell r="O3268">
            <v>0</v>
          </cell>
          <cell r="P3268">
            <v>10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>
            <v>0</v>
          </cell>
          <cell r="V3268">
            <v>38.166666578035802</v>
          </cell>
          <cell r="W3268">
            <v>0</v>
          </cell>
          <cell r="X3268">
            <v>0</v>
          </cell>
          <cell r="Y3268">
            <v>0</v>
          </cell>
          <cell r="Z3268">
            <v>0</v>
          </cell>
        </row>
        <row r="3269">
          <cell r="C3269" t="str">
            <v>EDİRNE</v>
          </cell>
          <cell r="D3269" t="str">
            <v>UZUNKÖPRÜ</v>
          </cell>
          <cell r="H3269" t="str">
            <v>Dağıtım-AG</v>
          </cell>
          <cell r="I3269" t="str">
            <v>Uzun</v>
          </cell>
          <cell r="J3269" t="str">
            <v>Şebeke işletmecisi</v>
          </cell>
          <cell r="K3269" t="str">
            <v>Bildirimsiz</v>
          </cell>
          <cell r="O3269">
            <v>0</v>
          </cell>
          <cell r="P3269">
            <v>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3.7833333376329392</v>
          </cell>
          <cell r="W3269">
            <v>0</v>
          </cell>
          <cell r="X3269">
            <v>0</v>
          </cell>
          <cell r="Y3269">
            <v>0</v>
          </cell>
          <cell r="Z3269">
            <v>0</v>
          </cell>
        </row>
        <row r="3270">
          <cell r="C3270" t="str">
            <v>TEKİRDAĞ</v>
          </cell>
          <cell r="D3270" t="str">
            <v>MALKARA</v>
          </cell>
          <cell r="H3270" t="str">
            <v>Dağıtım-OG</v>
          </cell>
          <cell r="I3270" t="str">
            <v>Uzun</v>
          </cell>
          <cell r="J3270" t="str">
            <v>Şebeke İşletmecisi</v>
          </cell>
          <cell r="K3270" t="str">
            <v>Bildirimsiz</v>
          </cell>
          <cell r="O3270">
            <v>0</v>
          </cell>
          <cell r="P3270">
            <v>465</v>
          </cell>
          <cell r="Q3270">
            <v>0</v>
          </cell>
          <cell r="R3270">
            <v>2</v>
          </cell>
          <cell r="S3270">
            <v>0</v>
          </cell>
          <cell r="T3270">
            <v>0</v>
          </cell>
          <cell r="U3270">
            <v>0</v>
          </cell>
          <cell r="V3270">
            <v>1751.5000001876615</v>
          </cell>
          <cell r="W3270">
            <v>0</v>
          </cell>
          <cell r="X3270">
            <v>7.5333333341404796</v>
          </cell>
          <cell r="Y3270">
            <v>0</v>
          </cell>
          <cell r="Z3270">
            <v>0</v>
          </cell>
        </row>
        <row r="3271">
          <cell r="C3271" t="str">
            <v>KIRKLARELİ</v>
          </cell>
          <cell r="D3271" t="str">
            <v>KIRKLARELİMERKEZ</v>
          </cell>
          <cell r="H3271" t="str">
            <v>Dağıtım-AG</v>
          </cell>
          <cell r="I3271" t="str">
            <v>Uzun</v>
          </cell>
          <cell r="J3271" t="str">
            <v>Şebeke işletmecisi</v>
          </cell>
          <cell r="K3271" t="str">
            <v>Bildirimsiz</v>
          </cell>
          <cell r="O3271">
            <v>0</v>
          </cell>
          <cell r="P3271">
            <v>0</v>
          </cell>
          <cell r="Q3271">
            <v>0</v>
          </cell>
          <cell r="R3271">
            <v>2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7.4333333317190409</v>
          </cell>
          <cell r="Y3271">
            <v>0</v>
          </cell>
          <cell r="Z3271">
            <v>0</v>
          </cell>
        </row>
        <row r="3272">
          <cell r="C3272" t="str">
            <v>EDİRNE</v>
          </cell>
          <cell r="D3272" t="str">
            <v>UZUNKÖPRÜ</v>
          </cell>
          <cell r="H3272" t="str">
            <v>Dağıtım-OG</v>
          </cell>
          <cell r="I3272" t="str">
            <v>Uzun</v>
          </cell>
          <cell r="J3272" t="str">
            <v>Şebeke işletmecisi</v>
          </cell>
          <cell r="K3272" t="str">
            <v>Bildirimsiz</v>
          </cell>
          <cell r="O3272">
            <v>5</v>
          </cell>
          <cell r="P3272">
            <v>0</v>
          </cell>
          <cell r="Q3272">
            <v>0</v>
          </cell>
          <cell r="R3272">
            <v>0</v>
          </cell>
          <cell r="S3272">
            <v>3</v>
          </cell>
          <cell r="T3272">
            <v>0</v>
          </cell>
          <cell r="U3272">
            <v>18.583333329297602</v>
          </cell>
          <cell r="V3272">
            <v>0</v>
          </cell>
          <cell r="W3272">
            <v>0</v>
          </cell>
          <cell r="X3272">
            <v>0</v>
          </cell>
          <cell r="Y3272">
            <v>11.149999997578561</v>
          </cell>
          <cell r="Z3272">
            <v>0</v>
          </cell>
        </row>
        <row r="3273">
          <cell r="C3273" t="str">
            <v>TEKİRDAĞ</v>
          </cell>
          <cell r="D3273" t="str">
            <v>SÜLEYMANPAŞA</v>
          </cell>
          <cell r="H3273" t="str">
            <v>Dağıtım-AG</v>
          </cell>
          <cell r="I3273" t="str">
            <v>Uzun</v>
          </cell>
          <cell r="J3273" t="str">
            <v>Şebeke işletmecisi</v>
          </cell>
          <cell r="K3273" t="str">
            <v>Bildirimsiz</v>
          </cell>
          <cell r="O3273">
            <v>0</v>
          </cell>
          <cell r="P3273">
            <v>3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10.999999993946403</v>
          </cell>
          <cell r="W3273">
            <v>0</v>
          </cell>
          <cell r="X3273">
            <v>0</v>
          </cell>
          <cell r="Y3273">
            <v>0</v>
          </cell>
          <cell r="Z3273">
            <v>0</v>
          </cell>
        </row>
        <row r="3274">
          <cell r="C3274" t="str">
            <v>EDİRNE</v>
          </cell>
          <cell r="D3274" t="str">
            <v>UZUNKÖPRÜ</v>
          </cell>
          <cell r="H3274" t="str">
            <v>Dağıtım-AG</v>
          </cell>
          <cell r="I3274" t="str">
            <v>Uzun</v>
          </cell>
          <cell r="J3274" t="str">
            <v>Şebeke işletmecisi</v>
          </cell>
          <cell r="K3274" t="str">
            <v>Bildirimsiz</v>
          </cell>
          <cell r="O3274">
            <v>0</v>
          </cell>
          <cell r="P3274">
            <v>318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1155.4000002122484</v>
          </cell>
          <cell r="W3274">
            <v>0</v>
          </cell>
          <cell r="X3274">
            <v>0</v>
          </cell>
          <cell r="Y3274">
            <v>0</v>
          </cell>
          <cell r="Z3274">
            <v>0</v>
          </cell>
        </row>
        <row r="3275">
          <cell r="C3275" t="str">
            <v>KIRKLARELİ</v>
          </cell>
          <cell r="D3275" t="str">
            <v>PINARHİSAR</v>
          </cell>
          <cell r="H3275" t="str">
            <v>Dağıtım-OG</v>
          </cell>
          <cell r="I3275" t="str">
            <v>Uzun</v>
          </cell>
          <cell r="J3275" t="str">
            <v>Şebeke İşletmecisi</v>
          </cell>
          <cell r="K3275" t="str">
            <v>Bildirimsiz</v>
          </cell>
          <cell r="O3275">
            <v>0</v>
          </cell>
          <cell r="P3275">
            <v>3</v>
          </cell>
          <cell r="Q3275">
            <v>0</v>
          </cell>
          <cell r="R3275">
            <v>722</v>
          </cell>
          <cell r="S3275">
            <v>0</v>
          </cell>
          <cell r="T3275">
            <v>0</v>
          </cell>
          <cell r="U3275">
            <v>0</v>
          </cell>
          <cell r="V3275">
            <v>10.900000002002344</v>
          </cell>
          <cell r="W3275">
            <v>0</v>
          </cell>
          <cell r="X3275">
            <v>2623.266667148564</v>
          </cell>
          <cell r="Y3275">
            <v>0</v>
          </cell>
          <cell r="Z3275">
            <v>0</v>
          </cell>
        </row>
        <row r="3276">
          <cell r="C3276" t="str">
            <v>EDİRNE</v>
          </cell>
          <cell r="D3276" t="str">
            <v>İPSALA</v>
          </cell>
          <cell r="H3276" t="str">
            <v>Dağıtım-OG</v>
          </cell>
          <cell r="I3276" t="str">
            <v>Uzun</v>
          </cell>
          <cell r="J3276" t="str">
            <v>Şebeke İşletmecisi</v>
          </cell>
          <cell r="K3276" t="str">
            <v>Bildirimsiz</v>
          </cell>
          <cell r="O3276">
            <v>0</v>
          </cell>
          <cell r="P3276">
            <v>0</v>
          </cell>
          <cell r="Q3276">
            <v>1</v>
          </cell>
          <cell r="R3276">
            <v>0</v>
          </cell>
          <cell r="S3276">
            <v>18</v>
          </cell>
          <cell r="T3276">
            <v>386</v>
          </cell>
          <cell r="U3276">
            <v>0</v>
          </cell>
          <cell r="V3276">
            <v>0</v>
          </cell>
          <cell r="W3276">
            <v>3.6333333235234022</v>
          </cell>
          <cell r="X3276">
            <v>0</v>
          </cell>
          <cell r="Y3276">
            <v>65.39999982342124</v>
          </cell>
          <cell r="Z3276">
            <v>1402.4666628800333</v>
          </cell>
        </row>
        <row r="3277">
          <cell r="C3277" t="str">
            <v>EDİRNE</v>
          </cell>
          <cell r="D3277" t="str">
            <v>MERİÇ</v>
          </cell>
          <cell r="H3277" t="str">
            <v>Dağıtım-OG</v>
          </cell>
          <cell r="I3277" t="str">
            <v>Uzun</v>
          </cell>
          <cell r="J3277" t="str">
            <v>Şebeke işletmecisi</v>
          </cell>
          <cell r="K3277" t="str">
            <v>Bildirimsiz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11</v>
          </cell>
          <cell r="T3277">
            <v>150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>
            <v>39.783333413070068</v>
          </cell>
          <cell r="Z3277">
            <v>542.50000108731911</v>
          </cell>
        </row>
        <row r="3278">
          <cell r="C3278" t="str">
            <v>KIRKLARELİ</v>
          </cell>
          <cell r="D3278" t="str">
            <v>LÜLEBURGAZ</v>
          </cell>
          <cell r="H3278" t="str">
            <v>Dağıtım-OG</v>
          </cell>
          <cell r="I3278" t="str">
            <v>Uzun</v>
          </cell>
          <cell r="J3278" t="str">
            <v>Şebeke İşletmecisi</v>
          </cell>
          <cell r="K3278" t="str">
            <v>Bildirimsiz</v>
          </cell>
          <cell r="O3278">
            <v>88</v>
          </cell>
          <cell r="P3278">
            <v>22163</v>
          </cell>
          <cell r="Q3278">
            <v>0</v>
          </cell>
          <cell r="R3278">
            <v>1</v>
          </cell>
          <cell r="S3278">
            <v>84</v>
          </cell>
          <cell r="T3278">
            <v>2079</v>
          </cell>
          <cell r="U3278">
            <v>318.26666638255119</v>
          </cell>
          <cell r="V3278">
            <v>80156.183261778206</v>
          </cell>
          <cell r="W3278">
            <v>0</v>
          </cell>
          <cell r="X3278">
            <v>3.6166666634380817</v>
          </cell>
          <cell r="Y3278">
            <v>303.79999972879887</v>
          </cell>
          <cell r="Z3278">
            <v>7519.0499932877719</v>
          </cell>
        </row>
        <row r="3279">
          <cell r="C3279" t="str">
            <v>EDİRNE</v>
          </cell>
          <cell r="D3279" t="str">
            <v>EDİRNEMERKEZ</v>
          </cell>
          <cell r="H3279" t="str">
            <v>Dağıtım-OG</v>
          </cell>
          <cell r="I3279" t="str">
            <v>Uzun</v>
          </cell>
          <cell r="J3279" t="str">
            <v>Şebeke İşletmecisi</v>
          </cell>
          <cell r="K3279" t="str">
            <v>Bildirimsiz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217</v>
          </cell>
          <cell r="U3279">
            <v>0</v>
          </cell>
          <cell r="V3279">
            <v>0</v>
          </cell>
          <cell r="W3279">
            <v>0</v>
          </cell>
          <cell r="X3279">
            <v>0</v>
          </cell>
          <cell r="Y3279">
            <v>0</v>
          </cell>
          <cell r="Z3279">
            <v>777.58333321544342</v>
          </cell>
        </row>
        <row r="3280">
          <cell r="C3280" t="str">
            <v>TEKİRDAĞ</v>
          </cell>
          <cell r="D3280" t="str">
            <v>SÜLEYMANPAŞA</v>
          </cell>
          <cell r="H3280" t="str">
            <v>Dağıtım-AG</v>
          </cell>
          <cell r="I3280" t="str">
            <v>Uzun</v>
          </cell>
          <cell r="J3280" t="str">
            <v>Şebeke işletmecisi</v>
          </cell>
          <cell r="K3280" t="str">
            <v>Bildirimsiz</v>
          </cell>
          <cell r="O3280">
            <v>0</v>
          </cell>
          <cell r="P3280">
            <v>11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  <cell r="U3280">
            <v>0</v>
          </cell>
          <cell r="V3280">
            <v>39.233333399752155</v>
          </cell>
          <cell r="W3280">
            <v>0</v>
          </cell>
          <cell r="X3280">
            <v>0</v>
          </cell>
          <cell r="Y3280">
            <v>0</v>
          </cell>
          <cell r="Z3280">
            <v>0</v>
          </cell>
        </row>
        <row r="3281">
          <cell r="C3281" t="str">
            <v>KIRKLARELİ</v>
          </cell>
          <cell r="D3281" t="str">
            <v>BABAESKİ</v>
          </cell>
          <cell r="H3281" t="str">
            <v>Dağıtım-OG</v>
          </cell>
          <cell r="I3281" t="str">
            <v>Uzun</v>
          </cell>
          <cell r="J3281" t="str">
            <v>Şebeke işletmecisi</v>
          </cell>
          <cell r="K3281" t="str">
            <v>Bildirimsiz</v>
          </cell>
          <cell r="O3281">
            <v>0</v>
          </cell>
          <cell r="P3281">
            <v>2</v>
          </cell>
          <cell r="Q3281">
            <v>0</v>
          </cell>
          <cell r="R3281">
            <v>0</v>
          </cell>
          <cell r="S3281">
            <v>3</v>
          </cell>
          <cell r="T3281">
            <v>602</v>
          </cell>
          <cell r="U3281">
            <v>0</v>
          </cell>
          <cell r="V3281">
            <v>7.1000000042840838</v>
          </cell>
          <cell r="W3281">
            <v>0</v>
          </cell>
          <cell r="X3281">
            <v>0</v>
          </cell>
          <cell r="Y3281">
            <v>10.650000006426126</v>
          </cell>
          <cell r="Z3281">
            <v>2137.1000012895092</v>
          </cell>
        </row>
        <row r="3282">
          <cell r="C3282" t="str">
            <v>EDİRNE</v>
          </cell>
          <cell r="D3282" t="str">
            <v>UZUNKÖPRÜ</v>
          </cell>
          <cell r="H3282" t="str">
            <v>Dağıtım-AG</v>
          </cell>
          <cell r="I3282" t="str">
            <v>Uzun</v>
          </cell>
          <cell r="J3282" t="str">
            <v>Şebeke işletmecisi</v>
          </cell>
          <cell r="K3282" t="str">
            <v>Bildirimsiz</v>
          </cell>
          <cell r="O3282">
            <v>0</v>
          </cell>
          <cell r="P3282">
            <v>0</v>
          </cell>
          <cell r="Q3282">
            <v>0</v>
          </cell>
          <cell r="R3282">
            <v>4</v>
          </cell>
          <cell r="S3282">
            <v>0</v>
          </cell>
          <cell r="T3282">
            <v>0</v>
          </cell>
          <cell r="U3282">
            <v>0</v>
          </cell>
          <cell r="V3282">
            <v>0</v>
          </cell>
          <cell r="W3282">
            <v>0</v>
          </cell>
          <cell r="X3282">
            <v>14.200000008568168</v>
          </cell>
          <cell r="Y3282">
            <v>0</v>
          </cell>
          <cell r="Z3282">
            <v>0</v>
          </cell>
        </row>
        <row r="3283">
          <cell r="C3283" t="str">
            <v>KIRKLARELİ</v>
          </cell>
          <cell r="D3283" t="str">
            <v>VİZE</v>
          </cell>
          <cell r="H3283" t="str">
            <v>Dağıtım-OG</v>
          </cell>
          <cell r="I3283" t="str">
            <v>Uzun</v>
          </cell>
          <cell r="J3283" t="str">
            <v>Şebeke İşletmecisi</v>
          </cell>
          <cell r="K3283" t="str">
            <v>Bildirimsiz</v>
          </cell>
          <cell r="O3283">
            <v>0</v>
          </cell>
          <cell r="P3283">
            <v>0</v>
          </cell>
          <cell r="Q3283">
            <v>1</v>
          </cell>
          <cell r="R3283">
            <v>472</v>
          </cell>
          <cell r="S3283">
            <v>0</v>
          </cell>
          <cell r="T3283">
            <v>0</v>
          </cell>
          <cell r="U3283">
            <v>0</v>
          </cell>
          <cell r="V3283">
            <v>0</v>
          </cell>
          <cell r="W3283">
            <v>3.549999991664663</v>
          </cell>
          <cell r="X3283">
            <v>1675.5999960657209</v>
          </cell>
          <cell r="Y3283">
            <v>0</v>
          </cell>
          <cell r="Z3283">
            <v>0</v>
          </cell>
        </row>
        <row r="3284">
          <cell r="C3284" t="str">
            <v>KIRKLARELİ</v>
          </cell>
          <cell r="D3284" t="str">
            <v>VİZE</v>
          </cell>
          <cell r="H3284" t="str">
            <v>Dağıtım-AG</v>
          </cell>
          <cell r="I3284" t="str">
            <v>Uzun</v>
          </cell>
          <cell r="J3284" t="str">
            <v>Şebeke işletmecisi</v>
          </cell>
          <cell r="K3284" t="str">
            <v>Bildirimsiz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65</v>
          </cell>
          <cell r="U3284">
            <v>0</v>
          </cell>
          <cell r="V3284">
            <v>0</v>
          </cell>
          <cell r="W3284">
            <v>0</v>
          </cell>
          <cell r="X3284">
            <v>0</v>
          </cell>
          <cell r="Y3284">
            <v>0</v>
          </cell>
          <cell r="Z3284">
            <v>229.66666655265726</v>
          </cell>
        </row>
        <row r="3285">
          <cell r="C3285" t="str">
            <v>TEKİRDAĞ</v>
          </cell>
          <cell r="D3285" t="str">
            <v>HAYRABOLU</v>
          </cell>
          <cell r="H3285" t="str">
            <v>Dağıtım-OG</v>
          </cell>
          <cell r="I3285" t="str">
            <v>Uzun</v>
          </cell>
          <cell r="J3285" t="str">
            <v>Şebeke İşletmecisi</v>
          </cell>
          <cell r="K3285" t="str">
            <v>Bildirimsiz</v>
          </cell>
          <cell r="O3285">
            <v>0</v>
          </cell>
          <cell r="P3285">
            <v>1</v>
          </cell>
          <cell r="Q3285">
            <v>10</v>
          </cell>
          <cell r="R3285">
            <v>1220</v>
          </cell>
          <cell r="S3285">
            <v>0</v>
          </cell>
          <cell r="T3285">
            <v>264</v>
          </cell>
          <cell r="U3285">
            <v>0</v>
          </cell>
          <cell r="V3285">
            <v>3.5000000009313226</v>
          </cell>
          <cell r="W3285">
            <v>35.000000009313226</v>
          </cell>
          <cell r="X3285">
            <v>4270.0000011362135</v>
          </cell>
          <cell r="Y3285">
            <v>0</v>
          </cell>
          <cell r="Z3285">
            <v>924.00000024586916</v>
          </cell>
        </row>
        <row r="3286">
          <cell r="C3286" t="str">
            <v>KIRKLARELİ</v>
          </cell>
          <cell r="D3286" t="str">
            <v>KOFÇAZ</v>
          </cell>
          <cell r="H3286" t="str">
            <v>Dağıtım-OG</v>
          </cell>
          <cell r="I3286" t="str">
            <v>Uzun</v>
          </cell>
          <cell r="J3286" t="str">
            <v>Şebeke İşletmecisi</v>
          </cell>
          <cell r="K3286" t="str">
            <v>Bildirimsiz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1</v>
          </cell>
          <cell r="T3286">
            <v>0</v>
          </cell>
          <cell r="U3286">
            <v>0</v>
          </cell>
          <cell r="V3286">
            <v>0</v>
          </cell>
          <cell r="W3286">
            <v>0</v>
          </cell>
          <cell r="X3286">
            <v>0</v>
          </cell>
          <cell r="Y3286">
            <v>3.5000000009313226</v>
          </cell>
          <cell r="Z3286">
            <v>0</v>
          </cell>
        </row>
        <row r="3287">
          <cell r="C3287" t="str">
            <v>KIRKLARELİ</v>
          </cell>
          <cell r="D3287" t="str">
            <v>KOFÇAZ</v>
          </cell>
          <cell r="H3287" t="str">
            <v>Dağıtım-OG</v>
          </cell>
          <cell r="I3287" t="str">
            <v>Uzun</v>
          </cell>
          <cell r="J3287" t="str">
            <v>Şebeke İşletmecisi</v>
          </cell>
          <cell r="K3287" t="str">
            <v>Bildirimsiz</v>
          </cell>
          <cell r="O3287">
            <v>0</v>
          </cell>
          <cell r="P3287">
            <v>0</v>
          </cell>
          <cell r="Q3287">
            <v>1</v>
          </cell>
          <cell r="R3287">
            <v>0</v>
          </cell>
          <cell r="S3287">
            <v>0</v>
          </cell>
          <cell r="T3287">
            <v>0</v>
          </cell>
          <cell r="U3287">
            <v>0</v>
          </cell>
          <cell r="V3287">
            <v>0</v>
          </cell>
          <cell r="W3287">
            <v>3.5000000009313226</v>
          </cell>
          <cell r="X3287">
            <v>0</v>
          </cell>
          <cell r="Y3287">
            <v>0</v>
          </cell>
          <cell r="Z3287">
            <v>0</v>
          </cell>
        </row>
        <row r="3288">
          <cell r="C3288" t="str">
            <v>EDİRNE</v>
          </cell>
          <cell r="D3288" t="str">
            <v>UZUNKÖPRÜ</v>
          </cell>
          <cell r="H3288" t="str">
            <v>Dağıtım-OG</v>
          </cell>
          <cell r="I3288" t="str">
            <v>Uzun</v>
          </cell>
          <cell r="J3288" t="str">
            <v>Şebeke İşletmecisi</v>
          </cell>
          <cell r="K3288" t="str">
            <v>Bildirimsiz</v>
          </cell>
          <cell r="O3288">
            <v>0</v>
          </cell>
          <cell r="P3288">
            <v>628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>
            <v>0</v>
          </cell>
          <cell r="V3288">
            <v>2198.0000005848706</v>
          </cell>
          <cell r="W3288">
            <v>0</v>
          </cell>
          <cell r="X3288">
            <v>0</v>
          </cell>
          <cell r="Y3288">
            <v>0</v>
          </cell>
          <cell r="Z3288">
            <v>0</v>
          </cell>
        </row>
        <row r="3289">
          <cell r="C3289" t="str">
            <v>KIRKLARELİ</v>
          </cell>
          <cell r="D3289" t="str">
            <v>VİZE</v>
          </cell>
          <cell r="H3289" t="str">
            <v>Dağıtım-OG</v>
          </cell>
          <cell r="I3289" t="str">
            <v>Uzun</v>
          </cell>
          <cell r="J3289" t="str">
            <v>Şebeke İşletmecisi</v>
          </cell>
          <cell r="K3289" t="str">
            <v>Bildirimsiz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18</v>
          </cell>
          <cell r="T3289">
            <v>501</v>
          </cell>
          <cell r="U3289">
            <v>0</v>
          </cell>
          <cell r="V3289">
            <v>0</v>
          </cell>
          <cell r="W3289">
            <v>0</v>
          </cell>
          <cell r="X3289">
            <v>0</v>
          </cell>
          <cell r="Y3289">
            <v>62.999999828170985</v>
          </cell>
          <cell r="Z3289">
            <v>1753.4999952174257</v>
          </cell>
        </row>
        <row r="3290">
          <cell r="C3290" t="str">
            <v>TEKİRDAĞ</v>
          </cell>
          <cell r="D3290" t="str">
            <v>HAYRABOLU</v>
          </cell>
          <cell r="H3290" t="str">
            <v>Dağıtım-AG</v>
          </cell>
          <cell r="I3290" t="str">
            <v>Uzun</v>
          </cell>
          <cell r="J3290" t="str">
            <v>Şebeke işletmecisi</v>
          </cell>
          <cell r="K3290" t="str">
            <v>Bildirimsiz</v>
          </cell>
          <cell r="O3290">
            <v>0</v>
          </cell>
          <cell r="P3290">
            <v>0</v>
          </cell>
          <cell r="Q3290">
            <v>0</v>
          </cell>
          <cell r="R3290">
            <v>6</v>
          </cell>
          <cell r="S3290">
            <v>0</v>
          </cell>
          <cell r="T3290">
            <v>0</v>
          </cell>
          <cell r="U3290">
            <v>0</v>
          </cell>
          <cell r="V3290">
            <v>0</v>
          </cell>
          <cell r="W3290">
            <v>0</v>
          </cell>
          <cell r="X3290">
            <v>20.799999958835542</v>
          </cell>
          <cell r="Y3290">
            <v>0</v>
          </cell>
          <cell r="Z3290">
            <v>0</v>
          </cell>
        </row>
        <row r="3291">
          <cell r="C3291" t="str">
            <v>EDİRNE</v>
          </cell>
          <cell r="D3291" t="str">
            <v>EDİRNEMERKEZ</v>
          </cell>
          <cell r="H3291" t="str">
            <v>Dağıtım-OG</v>
          </cell>
          <cell r="I3291" t="str">
            <v>Uzun</v>
          </cell>
          <cell r="J3291" t="str">
            <v>Şebeke işletmecisi</v>
          </cell>
          <cell r="K3291" t="str">
            <v>Bildirimsiz</v>
          </cell>
          <cell r="O3291">
            <v>1</v>
          </cell>
          <cell r="P3291">
            <v>6911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3.3999999985098839</v>
          </cell>
          <cell r="V3291">
            <v>23497.399989701807</v>
          </cell>
          <cell r="W3291">
            <v>0</v>
          </cell>
          <cell r="X3291">
            <v>3.3999999985098839</v>
          </cell>
          <cell r="Y3291">
            <v>3.3999999985098839</v>
          </cell>
          <cell r="Z3291">
            <v>0</v>
          </cell>
        </row>
        <row r="3292">
          <cell r="C3292" t="str">
            <v>KIRKLARELİ</v>
          </cell>
          <cell r="D3292" t="str">
            <v>DEMİRKÖY</v>
          </cell>
          <cell r="H3292" t="str">
            <v>Dağıtım-OG</v>
          </cell>
          <cell r="I3292" t="str">
            <v>Uzun</v>
          </cell>
          <cell r="J3292" t="str">
            <v>Şebeke İşletmecisi</v>
          </cell>
          <cell r="K3292" t="str">
            <v>Bildirimsiz</v>
          </cell>
          <cell r="O3292">
            <v>0</v>
          </cell>
          <cell r="P3292">
            <v>0</v>
          </cell>
          <cell r="Q3292">
            <v>0</v>
          </cell>
          <cell r="R3292">
            <v>281</v>
          </cell>
          <cell r="S3292">
            <v>4</v>
          </cell>
          <cell r="T3292">
            <v>287</v>
          </cell>
          <cell r="U3292">
            <v>0</v>
          </cell>
          <cell r="V3292">
            <v>0</v>
          </cell>
          <cell r="W3292">
            <v>0</v>
          </cell>
          <cell r="X3292">
            <v>946.03333366918378</v>
          </cell>
          <cell r="Y3292">
            <v>13.466666671447456</v>
          </cell>
          <cell r="Z3292">
            <v>966.23333367635496</v>
          </cell>
        </row>
        <row r="3293">
          <cell r="C3293" t="str">
            <v>EDİRNE</v>
          </cell>
          <cell r="D3293" t="str">
            <v>MERİÇ</v>
          </cell>
          <cell r="H3293" t="str">
            <v>Dağıtım-OG</v>
          </cell>
          <cell r="I3293" t="str">
            <v>Uzun</v>
          </cell>
          <cell r="J3293" t="str">
            <v>Şebeke İşletmecisi</v>
          </cell>
          <cell r="K3293" t="str">
            <v>Bildirimsiz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11</v>
          </cell>
          <cell r="T3293">
            <v>150</v>
          </cell>
          <cell r="U3293">
            <v>0</v>
          </cell>
          <cell r="V3293">
            <v>0</v>
          </cell>
          <cell r="W3293">
            <v>0</v>
          </cell>
          <cell r="X3293">
            <v>0</v>
          </cell>
          <cell r="Y3293">
            <v>36.84999997029081</v>
          </cell>
          <cell r="Z3293">
            <v>502.49999959487468</v>
          </cell>
        </row>
        <row r="3294">
          <cell r="C3294" t="str">
            <v>KIRKLARELİ</v>
          </cell>
          <cell r="D3294" t="str">
            <v>KIRKLARELİMERKEZ</v>
          </cell>
          <cell r="H3294" t="str">
            <v>Dağıtım-OG</v>
          </cell>
          <cell r="I3294" t="str">
            <v>Uzun</v>
          </cell>
          <cell r="J3294" t="str">
            <v>Şebeke İşletmecisi</v>
          </cell>
          <cell r="K3294" t="str">
            <v>Bildirimsiz</v>
          </cell>
          <cell r="O3294">
            <v>0</v>
          </cell>
          <cell r="P3294">
            <v>0</v>
          </cell>
          <cell r="Q3294">
            <v>5</v>
          </cell>
          <cell r="R3294">
            <v>0</v>
          </cell>
          <cell r="S3294">
            <v>9</v>
          </cell>
          <cell r="T3294">
            <v>668</v>
          </cell>
          <cell r="U3294">
            <v>0</v>
          </cell>
          <cell r="V3294">
            <v>0</v>
          </cell>
          <cell r="W3294">
            <v>16.500000032829121</v>
          </cell>
          <cell r="X3294">
            <v>0</v>
          </cell>
          <cell r="Y3294">
            <v>29.700000059092417</v>
          </cell>
          <cell r="Z3294">
            <v>2204.4000043859705</v>
          </cell>
        </row>
        <row r="3295">
          <cell r="C3295" t="str">
            <v>KIRKLARELİ</v>
          </cell>
          <cell r="D3295" t="str">
            <v>LÜLEBURGAZ</v>
          </cell>
          <cell r="H3295" t="str">
            <v>Dağıtım-OG</v>
          </cell>
          <cell r="I3295" t="str">
            <v>Uzun</v>
          </cell>
          <cell r="J3295" t="str">
            <v>Şebeke işletmecisi</v>
          </cell>
          <cell r="K3295" t="str">
            <v>Bildirimsiz</v>
          </cell>
          <cell r="O3295">
            <v>0</v>
          </cell>
          <cell r="P3295">
            <v>205</v>
          </cell>
          <cell r="Q3295">
            <v>0</v>
          </cell>
          <cell r="R3295">
            <v>0</v>
          </cell>
          <cell r="S3295">
            <v>0</v>
          </cell>
          <cell r="T3295">
            <v>1</v>
          </cell>
          <cell r="U3295">
            <v>0</v>
          </cell>
          <cell r="V3295">
            <v>676.49999919813126</v>
          </cell>
          <cell r="W3295">
            <v>0</v>
          </cell>
          <cell r="X3295">
            <v>0</v>
          </cell>
          <cell r="Y3295">
            <v>0</v>
          </cell>
          <cell r="Z3295">
            <v>3.2999999960884452</v>
          </cell>
        </row>
        <row r="3296">
          <cell r="C3296" t="str">
            <v>EDİRNE</v>
          </cell>
          <cell r="D3296" t="str">
            <v>LALAPAŞA</v>
          </cell>
          <cell r="H3296" t="str">
            <v>Dağıtım-AG</v>
          </cell>
          <cell r="I3296" t="str">
            <v>Uzun</v>
          </cell>
          <cell r="J3296" t="str">
            <v>Şebeke işletmecisi</v>
          </cell>
          <cell r="K3296" t="str">
            <v>Bildirimsiz</v>
          </cell>
          <cell r="O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19</v>
          </cell>
          <cell r="U3296">
            <v>0</v>
          </cell>
          <cell r="V3296">
            <v>0</v>
          </cell>
          <cell r="W3296">
            <v>0</v>
          </cell>
          <cell r="X3296">
            <v>0</v>
          </cell>
          <cell r="Y3296">
            <v>0</v>
          </cell>
          <cell r="Z3296">
            <v>62.383333184989169</v>
          </cell>
        </row>
        <row r="3297">
          <cell r="C3297" t="str">
            <v>KIRKLARELİ</v>
          </cell>
          <cell r="D3297" t="str">
            <v>DEMİRKÖY</v>
          </cell>
          <cell r="H3297" t="str">
            <v>Dağıtım-OG</v>
          </cell>
          <cell r="I3297" t="str">
            <v>Uzun</v>
          </cell>
          <cell r="J3297" t="str">
            <v>Şebeke İşletmecisi</v>
          </cell>
          <cell r="K3297" t="str">
            <v>Bildirimsiz</v>
          </cell>
          <cell r="O3297">
            <v>0</v>
          </cell>
          <cell r="P3297">
            <v>0</v>
          </cell>
          <cell r="Q3297">
            <v>3</v>
          </cell>
          <cell r="R3297">
            <v>2</v>
          </cell>
          <cell r="S3297">
            <v>7</v>
          </cell>
          <cell r="T3297">
            <v>109</v>
          </cell>
          <cell r="U3297">
            <v>0</v>
          </cell>
          <cell r="V3297">
            <v>0</v>
          </cell>
          <cell r="W3297">
            <v>9.8499999765772372</v>
          </cell>
          <cell r="X3297">
            <v>6.5666666510514915</v>
          </cell>
          <cell r="Y3297">
            <v>22.98333327868022</v>
          </cell>
          <cell r="Z3297">
            <v>357.88333248230629</v>
          </cell>
        </row>
        <row r="3298">
          <cell r="C3298" t="str">
            <v>KIRKLARELİ</v>
          </cell>
          <cell r="D3298" t="str">
            <v>KIRKLARELİMERKEZ</v>
          </cell>
          <cell r="H3298" t="str">
            <v>Dağıtım-OG</v>
          </cell>
          <cell r="I3298" t="str">
            <v>Uzun</v>
          </cell>
          <cell r="J3298" t="str">
            <v>Şebeke İşletmecisi</v>
          </cell>
          <cell r="K3298" t="str">
            <v>Bildirimsiz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1</v>
          </cell>
          <cell r="T3298">
            <v>190</v>
          </cell>
          <cell r="U3298">
            <v>0</v>
          </cell>
          <cell r="V3298">
            <v>0</v>
          </cell>
          <cell r="W3298">
            <v>0</v>
          </cell>
          <cell r="X3298">
            <v>0</v>
          </cell>
          <cell r="Y3298">
            <v>3.2500000053551048</v>
          </cell>
          <cell r="Z3298">
            <v>617.50000101746991</v>
          </cell>
        </row>
        <row r="3299">
          <cell r="C3299" t="str">
            <v>EDİRNE</v>
          </cell>
          <cell r="D3299" t="str">
            <v>KEŞAN</v>
          </cell>
          <cell r="H3299" t="str">
            <v>Dağıtım-AG</v>
          </cell>
          <cell r="I3299" t="str">
            <v>Uzun</v>
          </cell>
          <cell r="J3299" t="str">
            <v>Şebeke işletmecisi</v>
          </cell>
          <cell r="K3299" t="str">
            <v>Bildirimsiz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20</v>
          </cell>
          <cell r="U3299">
            <v>0</v>
          </cell>
          <cell r="V3299">
            <v>0</v>
          </cell>
          <cell r="W3299">
            <v>0</v>
          </cell>
          <cell r="X3299">
            <v>0</v>
          </cell>
          <cell r="Y3299">
            <v>0</v>
          </cell>
          <cell r="Z3299">
            <v>64.666666695848107</v>
          </cell>
        </row>
        <row r="3300">
          <cell r="C3300" t="str">
            <v>EDİRNE</v>
          </cell>
          <cell r="D3300" t="str">
            <v>İPSALA</v>
          </cell>
          <cell r="H3300" t="str">
            <v>Dağıtım-OG</v>
          </cell>
          <cell r="I3300" t="str">
            <v>Uzun</v>
          </cell>
          <cell r="J3300" t="str">
            <v>Şebeke İşletmecisi</v>
          </cell>
          <cell r="K3300" t="str">
            <v>Bildirimsiz</v>
          </cell>
          <cell r="O3300">
            <v>0</v>
          </cell>
          <cell r="P3300">
            <v>0</v>
          </cell>
          <cell r="Q3300">
            <v>8</v>
          </cell>
          <cell r="R3300">
            <v>0</v>
          </cell>
          <cell r="S3300">
            <v>49</v>
          </cell>
          <cell r="T3300">
            <v>0</v>
          </cell>
          <cell r="U3300">
            <v>0</v>
          </cell>
          <cell r="V3300">
            <v>0</v>
          </cell>
          <cell r="W3300">
            <v>25.733333397656679</v>
          </cell>
          <cell r="X3300">
            <v>0</v>
          </cell>
          <cell r="Y3300">
            <v>157.61666706064716</v>
          </cell>
          <cell r="Z3300">
            <v>0</v>
          </cell>
        </row>
        <row r="3301">
          <cell r="C3301" t="str">
            <v>KIRKLARELİ</v>
          </cell>
          <cell r="D3301" t="str">
            <v>KIRKLARELİMERKEZ</v>
          </cell>
          <cell r="H3301" t="str">
            <v>Dağıtım-OG</v>
          </cell>
          <cell r="I3301" t="str">
            <v>Uzun</v>
          </cell>
          <cell r="J3301" t="str">
            <v>Şebeke İşletmecisi</v>
          </cell>
          <cell r="K3301" t="str">
            <v>Bildirimsiz</v>
          </cell>
          <cell r="O3301">
            <v>1</v>
          </cell>
          <cell r="P3301">
            <v>0</v>
          </cell>
          <cell r="Q3301">
            <v>6</v>
          </cell>
          <cell r="R3301">
            <v>166</v>
          </cell>
          <cell r="S3301">
            <v>37</v>
          </cell>
          <cell r="T3301">
            <v>1269</v>
          </cell>
          <cell r="U3301">
            <v>3.2000000041443855</v>
          </cell>
          <cell r="V3301">
            <v>0</v>
          </cell>
          <cell r="W3301">
            <v>19.200000024866313</v>
          </cell>
          <cell r="X3301">
            <v>531.20000068796799</v>
          </cell>
          <cell r="Y3301">
            <v>118.40000015334226</v>
          </cell>
          <cell r="Z3301">
            <v>4060.8000052592251</v>
          </cell>
        </row>
        <row r="3302">
          <cell r="C3302" t="str">
            <v>EDİRNE</v>
          </cell>
          <cell r="D3302" t="str">
            <v>KEŞAN</v>
          </cell>
          <cell r="H3302" t="str">
            <v>Dağıtım-AG</v>
          </cell>
          <cell r="I3302" t="str">
            <v>Uzun</v>
          </cell>
          <cell r="J3302" t="str">
            <v>Şebeke işletmecisi</v>
          </cell>
          <cell r="K3302" t="str">
            <v>Bildirimsiz</v>
          </cell>
          <cell r="O3302">
            <v>0</v>
          </cell>
          <cell r="P3302">
            <v>45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>
            <v>0</v>
          </cell>
          <cell r="V3302">
            <v>142.50000030733645</v>
          </cell>
          <cell r="W3302">
            <v>0</v>
          </cell>
          <cell r="X3302">
            <v>0</v>
          </cell>
          <cell r="Y3302">
            <v>0</v>
          </cell>
          <cell r="Z3302">
            <v>0</v>
          </cell>
        </row>
        <row r="3303">
          <cell r="C3303" t="str">
            <v>EDİRNE</v>
          </cell>
          <cell r="D3303" t="str">
            <v>UZUNKÖPRÜ</v>
          </cell>
          <cell r="H3303" t="str">
            <v>Dağıtım-AG</v>
          </cell>
          <cell r="I3303" t="str">
            <v>Uzun</v>
          </cell>
          <cell r="J3303" t="str">
            <v>Şebeke işletmecisi</v>
          </cell>
          <cell r="K3303" t="str">
            <v>Bildirimsiz</v>
          </cell>
          <cell r="O3303">
            <v>0</v>
          </cell>
          <cell r="P3303">
            <v>10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>
            <v>0</v>
          </cell>
          <cell r="V3303">
            <v>31.499999924562871</v>
          </cell>
          <cell r="W3303">
            <v>0</v>
          </cell>
          <cell r="X3303">
            <v>0</v>
          </cell>
          <cell r="Y3303">
            <v>0</v>
          </cell>
          <cell r="Z3303">
            <v>0</v>
          </cell>
        </row>
        <row r="3304">
          <cell r="C3304" t="str">
            <v>TEKİRDAĞ</v>
          </cell>
          <cell r="D3304" t="str">
            <v>ERGENE</v>
          </cell>
          <cell r="H3304" t="str">
            <v>Dağıtım-OG</v>
          </cell>
          <cell r="I3304" t="str">
            <v>Uzun</v>
          </cell>
          <cell r="J3304" t="str">
            <v>Şebeke İşletmecisi</v>
          </cell>
          <cell r="K3304" t="str">
            <v>Bildirimsiz</v>
          </cell>
          <cell r="O3304">
            <v>12</v>
          </cell>
          <cell r="P3304">
            <v>262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>
            <v>37.5999999884516</v>
          </cell>
          <cell r="V3304">
            <v>820.93333308119327</v>
          </cell>
          <cell r="W3304">
            <v>0</v>
          </cell>
          <cell r="X3304">
            <v>0</v>
          </cell>
          <cell r="Y3304">
            <v>0</v>
          </cell>
          <cell r="Z3304">
            <v>0</v>
          </cell>
        </row>
        <row r="3305">
          <cell r="C3305" t="str">
            <v>TEKİRDAĞ</v>
          </cell>
          <cell r="D3305" t="str">
            <v>MARMARAEREĞLİSİ</v>
          </cell>
          <cell r="H3305" t="str">
            <v>Dağıtım-AG</v>
          </cell>
          <cell r="I3305" t="str">
            <v>Uzun</v>
          </cell>
          <cell r="J3305" t="str">
            <v>Şebeke işletmecisi</v>
          </cell>
          <cell r="K3305" t="str">
            <v>Bildirimsiz</v>
          </cell>
          <cell r="O3305">
            <v>0</v>
          </cell>
          <cell r="P3305">
            <v>1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>
            <v>0</v>
          </cell>
          <cell r="V3305">
            <v>3.1333333323709667</v>
          </cell>
          <cell r="W3305">
            <v>0</v>
          </cell>
          <cell r="X3305">
            <v>0</v>
          </cell>
          <cell r="Y3305">
            <v>0</v>
          </cell>
          <cell r="Z3305">
            <v>0</v>
          </cell>
        </row>
        <row r="3306">
          <cell r="C3306" t="str">
            <v>KIRKLARELİ</v>
          </cell>
          <cell r="D3306" t="str">
            <v>LÜLEBURGAZ</v>
          </cell>
          <cell r="H3306" t="str">
            <v>Dağıtım-AG</v>
          </cell>
          <cell r="I3306" t="str">
            <v>Uzun</v>
          </cell>
          <cell r="J3306" t="str">
            <v>Şebeke işletmecisi</v>
          </cell>
          <cell r="K3306" t="str">
            <v>Bildirimsiz</v>
          </cell>
          <cell r="O3306">
            <v>0</v>
          </cell>
          <cell r="P3306">
            <v>212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>
            <v>0</v>
          </cell>
          <cell r="V3306">
            <v>664.26666646264493</v>
          </cell>
          <cell r="W3306">
            <v>0</v>
          </cell>
          <cell r="X3306">
            <v>0</v>
          </cell>
          <cell r="Y3306">
            <v>0</v>
          </cell>
          <cell r="Z3306">
            <v>0</v>
          </cell>
        </row>
        <row r="3307">
          <cell r="C3307" t="str">
            <v>TEKİRDAĞ</v>
          </cell>
          <cell r="D3307" t="str">
            <v>KAPAKLI</v>
          </cell>
          <cell r="H3307" t="str">
            <v>Dağıtım-OG</v>
          </cell>
          <cell r="I3307" t="str">
            <v>Uzun</v>
          </cell>
          <cell r="J3307" t="str">
            <v>Şebeke İşletmecisi</v>
          </cell>
          <cell r="K3307" t="str">
            <v>Bildirimsiz</v>
          </cell>
          <cell r="O3307">
            <v>2</v>
          </cell>
          <cell r="P3307">
            <v>1762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>
            <v>6.2333333236165345</v>
          </cell>
          <cell r="V3307">
            <v>5491.5666581061669</v>
          </cell>
          <cell r="W3307">
            <v>0</v>
          </cell>
          <cell r="X3307">
            <v>0</v>
          </cell>
          <cell r="Y3307">
            <v>0</v>
          </cell>
          <cell r="Z3307">
            <v>0</v>
          </cell>
        </row>
        <row r="3308">
          <cell r="C3308" t="str">
            <v>KIRKLARELİ</v>
          </cell>
          <cell r="D3308" t="str">
            <v>KIRKLARELİMERKEZ</v>
          </cell>
          <cell r="H3308" t="str">
            <v>Dağıtım-OG</v>
          </cell>
          <cell r="I3308" t="str">
            <v>Uzun</v>
          </cell>
          <cell r="J3308" t="str">
            <v>Şebeke İşletmecisi</v>
          </cell>
          <cell r="K3308" t="str">
            <v>Bildirimsiz</v>
          </cell>
          <cell r="O3308">
            <v>1</v>
          </cell>
          <cell r="P3308">
            <v>0</v>
          </cell>
          <cell r="Q3308">
            <v>0</v>
          </cell>
          <cell r="R3308">
            <v>0</v>
          </cell>
          <cell r="S3308">
            <v>9</v>
          </cell>
          <cell r="T3308">
            <v>265</v>
          </cell>
          <cell r="U3308">
            <v>3.1000000017229468</v>
          </cell>
          <cell r="V3308">
            <v>0</v>
          </cell>
          <cell r="W3308">
            <v>0</v>
          </cell>
          <cell r="X3308">
            <v>0</v>
          </cell>
          <cell r="Y3308">
            <v>27.900000015506521</v>
          </cell>
          <cell r="Z3308">
            <v>821.50000045658089</v>
          </cell>
        </row>
        <row r="3309">
          <cell r="C3309" t="str">
            <v>TEKİRDAĞ</v>
          </cell>
          <cell r="D3309" t="str">
            <v>ÇORLU</v>
          </cell>
          <cell r="H3309" t="str">
            <v>Dağıtım-AG</v>
          </cell>
          <cell r="I3309" t="str">
            <v>Uzun</v>
          </cell>
          <cell r="J3309" t="str">
            <v>Şebeke işletmecisi</v>
          </cell>
          <cell r="K3309" t="str">
            <v>Bildirimsiz</v>
          </cell>
          <cell r="O3309">
            <v>0</v>
          </cell>
          <cell r="P3309">
            <v>1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>
            <v>0</v>
          </cell>
          <cell r="V3309">
            <v>3.1000000017229468</v>
          </cell>
          <cell r="W3309">
            <v>0</v>
          </cell>
          <cell r="X3309">
            <v>0</v>
          </cell>
          <cell r="Y3309">
            <v>0</v>
          </cell>
          <cell r="Z3309">
            <v>0</v>
          </cell>
        </row>
        <row r="3310">
          <cell r="C3310" t="str">
            <v>KIRKLARELİ</v>
          </cell>
          <cell r="D3310" t="str">
            <v>VİZE</v>
          </cell>
          <cell r="H3310" t="str">
            <v>Dağıtım-AG</v>
          </cell>
          <cell r="I3310" t="str">
            <v>Uzun</v>
          </cell>
          <cell r="J3310" t="str">
            <v>Şebeke işletmecisi</v>
          </cell>
          <cell r="K3310" t="str">
            <v>Bildirimsiz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6</v>
          </cell>
          <cell r="U3310">
            <v>0</v>
          </cell>
          <cell r="V3310">
            <v>0</v>
          </cell>
          <cell r="W3310">
            <v>0</v>
          </cell>
          <cell r="X3310">
            <v>0</v>
          </cell>
          <cell r="Y3310">
            <v>0</v>
          </cell>
          <cell r="Z3310">
            <v>18.400000026449561</v>
          </cell>
        </row>
        <row r="3311">
          <cell r="C3311" t="str">
            <v>KIRKLARELİ</v>
          </cell>
          <cell r="D3311" t="str">
            <v>LÜLEBURGAZ</v>
          </cell>
          <cell r="H3311" t="str">
            <v>Dağıtım-OG</v>
          </cell>
          <cell r="I3311" t="str">
            <v>Uzun</v>
          </cell>
          <cell r="J3311" t="str">
            <v>Şebeke İşletmecisi</v>
          </cell>
          <cell r="K3311" t="str">
            <v>Bildirimsiz</v>
          </cell>
          <cell r="O3311">
            <v>2</v>
          </cell>
          <cell r="P3311">
            <v>0</v>
          </cell>
          <cell r="Q3311">
            <v>0</v>
          </cell>
          <cell r="R3311">
            <v>0</v>
          </cell>
          <cell r="S3311">
            <v>31</v>
          </cell>
          <cell r="T3311">
            <v>796</v>
          </cell>
          <cell r="U3311">
            <v>6.1000000010244548</v>
          </cell>
          <cell r="V3311">
            <v>0</v>
          </cell>
          <cell r="W3311">
            <v>0</v>
          </cell>
          <cell r="X3311">
            <v>0</v>
          </cell>
          <cell r="Y3311">
            <v>94.55000001587905</v>
          </cell>
          <cell r="Z3311">
            <v>2427.800000407733</v>
          </cell>
        </row>
        <row r="3312">
          <cell r="C3312" t="str">
            <v>EDİRNE</v>
          </cell>
          <cell r="D3312" t="str">
            <v>EDİRNEMERKEZ</v>
          </cell>
          <cell r="H3312" t="str">
            <v>Dağıtım-OG</v>
          </cell>
          <cell r="I3312" t="str">
            <v>Uzun</v>
          </cell>
          <cell r="J3312" t="str">
            <v>Şebeke İşletmecisi</v>
          </cell>
          <cell r="K3312" t="str">
            <v>Bildirimsiz</v>
          </cell>
          <cell r="O3312">
            <v>0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T3312">
            <v>102</v>
          </cell>
          <cell r="U3312">
            <v>0</v>
          </cell>
          <cell r="V3312">
            <v>0</v>
          </cell>
          <cell r="W3312">
            <v>0</v>
          </cell>
          <cell r="X3312">
            <v>0</v>
          </cell>
          <cell r="Y3312">
            <v>0</v>
          </cell>
          <cell r="Z3312">
            <v>309.39999965485185</v>
          </cell>
        </row>
        <row r="3313">
          <cell r="C3313" t="str">
            <v>TEKİRDAĞ</v>
          </cell>
          <cell r="D3313" t="str">
            <v>ŞARKÖY</v>
          </cell>
          <cell r="H3313" t="str">
            <v>Dağıtım-OG</v>
          </cell>
          <cell r="I3313" t="str">
            <v>Uzun</v>
          </cell>
          <cell r="J3313" t="str">
            <v>Şebeke İşletmecisi</v>
          </cell>
          <cell r="K3313" t="str">
            <v>Bildirimsiz</v>
          </cell>
          <cell r="O3313">
            <v>2</v>
          </cell>
          <cell r="P3313">
            <v>435</v>
          </cell>
          <cell r="Q3313">
            <v>3</v>
          </cell>
          <cell r="R3313">
            <v>7938</v>
          </cell>
          <cell r="S3313">
            <v>13</v>
          </cell>
          <cell r="T3313">
            <v>5104</v>
          </cell>
          <cell r="U3313">
            <v>6.066666659899056</v>
          </cell>
          <cell r="V3313">
            <v>1319.4999985280447</v>
          </cell>
          <cell r="W3313">
            <v>9.0999999898485839</v>
          </cell>
          <cell r="X3313">
            <v>24078.599973139353</v>
          </cell>
          <cell r="Y3313">
            <v>39.433333289343864</v>
          </cell>
          <cell r="Z3313">
            <v>15482.133316062391</v>
          </cell>
        </row>
        <row r="3314">
          <cell r="C3314" t="str">
            <v>EDİRNE</v>
          </cell>
          <cell r="D3314" t="str">
            <v>UZUNKÖPRÜ</v>
          </cell>
          <cell r="H3314" t="str">
            <v>Dağıtım-OG</v>
          </cell>
          <cell r="I3314" t="str">
            <v>Uzun</v>
          </cell>
          <cell r="J3314" t="str">
            <v>Şebeke İşletmecisi</v>
          </cell>
          <cell r="K3314" t="str">
            <v>Bildirimsiz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27</v>
          </cell>
          <cell r="T3314">
            <v>303</v>
          </cell>
          <cell r="U3314">
            <v>0</v>
          </cell>
          <cell r="V3314">
            <v>0</v>
          </cell>
          <cell r="W3314">
            <v>0</v>
          </cell>
          <cell r="X3314">
            <v>0</v>
          </cell>
          <cell r="Y3314">
            <v>81.899999908637255</v>
          </cell>
          <cell r="Z3314">
            <v>919.09999897470698</v>
          </cell>
        </row>
        <row r="3315">
          <cell r="C3315" t="str">
            <v>TEKİRDAĞ</v>
          </cell>
          <cell r="D3315" t="str">
            <v>HAYRABOLU</v>
          </cell>
          <cell r="H3315" t="str">
            <v>Dağıtım-OG</v>
          </cell>
          <cell r="I3315" t="str">
            <v>Kısa</v>
          </cell>
          <cell r="J3315" t="str">
            <v>Şebeke İşletmecisi</v>
          </cell>
          <cell r="K3315" t="str">
            <v>Bildirimsiz</v>
          </cell>
          <cell r="O3315">
            <v>0</v>
          </cell>
          <cell r="P3315">
            <v>364</v>
          </cell>
          <cell r="Q3315">
            <v>11</v>
          </cell>
          <cell r="R3315">
            <v>2</v>
          </cell>
          <cell r="S3315">
            <v>11</v>
          </cell>
          <cell r="T3315">
            <v>1128</v>
          </cell>
          <cell r="U3315">
            <v>0</v>
          </cell>
          <cell r="V3315">
            <v>1091.9999997457489</v>
          </cell>
          <cell r="W3315">
            <v>32.999999992316589</v>
          </cell>
          <cell r="X3315">
            <v>5.9999999986030161</v>
          </cell>
          <cell r="Y3315">
            <v>32.999999992316589</v>
          </cell>
          <cell r="Z3315">
            <v>3383.9999992121011</v>
          </cell>
        </row>
        <row r="3316">
          <cell r="C3316" t="str">
            <v>KIRKLARELİ</v>
          </cell>
          <cell r="D3316" t="str">
            <v>LÜLEBURGAZ</v>
          </cell>
          <cell r="H3316" t="str">
            <v>Dağıtım-OG</v>
          </cell>
          <cell r="I3316" t="str">
            <v>Kısa</v>
          </cell>
          <cell r="J3316" t="str">
            <v>Şebeke işletmecisi</v>
          </cell>
          <cell r="K3316" t="str">
            <v>Bildirimsiz</v>
          </cell>
          <cell r="O3316">
            <v>0</v>
          </cell>
          <cell r="P3316">
            <v>46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>
            <v>0</v>
          </cell>
          <cell r="V3316">
            <v>137.99999996786937</v>
          </cell>
          <cell r="W3316">
            <v>0</v>
          </cell>
          <cell r="X3316">
            <v>0</v>
          </cell>
          <cell r="Y3316">
            <v>0</v>
          </cell>
          <cell r="Z3316">
            <v>0</v>
          </cell>
        </row>
        <row r="3317">
          <cell r="C3317" t="str">
            <v>KIRKLARELİ</v>
          </cell>
          <cell r="D3317" t="str">
            <v>KIRKLARELİMERKEZ</v>
          </cell>
          <cell r="H3317" t="str">
            <v>Dağıtım-OG</v>
          </cell>
          <cell r="I3317" t="str">
            <v>Kısa</v>
          </cell>
          <cell r="J3317" t="str">
            <v>Şebeke işletmecisi</v>
          </cell>
          <cell r="K3317" t="str">
            <v>Bildirimsiz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5</v>
          </cell>
          <cell r="T3317">
            <v>387</v>
          </cell>
          <cell r="U3317">
            <v>0</v>
          </cell>
          <cell r="V3317">
            <v>0</v>
          </cell>
          <cell r="W3317">
            <v>0</v>
          </cell>
          <cell r="X3317">
            <v>0</v>
          </cell>
          <cell r="Y3317">
            <v>14.99999999650754</v>
          </cell>
          <cell r="Z3317">
            <v>1160.9999997296836</v>
          </cell>
        </row>
        <row r="3318">
          <cell r="C3318" t="str">
            <v>EDİRNE</v>
          </cell>
          <cell r="D3318" t="str">
            <v>HAVSA</v>
          </cell>
          <cell r="H3318" t="str">
            <v>Dağıtım-OG</v>
          </cell>
          <cell r="I3318" t="str">
            <v>Kısa</v>
          </cell>
          <cell r="J3318" t="str">
            <v>Şebeke İşletmecisi</v>
          </cell>
          <cell r="K3318" t="str">
            <v>Bildirimsiz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5</v>
          </cell>
          <cell r="T3318">
            <v>389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>
            <v>14.666666690027341</v>
          </cell>
          <cell r="Z3318">
            <v>1141.0666684841271</v>
          </cell>
        </row>
        <row r="3319">
          <cell r="C3319" t="str">
            <v>KIRKLARELİ</v>
          </cell>
          <cell r="D3319" t="str">
            <v>BABAESKİ</v>
          </cell>
          <cell r="H3319" t="str">
            <v>Dağıtım-AG</v>
          </cell>
          <cell r="I3319" t="str">
            <v>Kısa</v>
          </cell>
          <cell r="J3319" t="str">
            <v>Şebeke işletmecisi</v>
          </cell>
          <cell r="K3319" t="str">
            <v>Bildirimsiz</v>
          </cell>
          <cell r="O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200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>
            <v>0</v>
          </cell>
          <cell r="Z3319">
            <v>579.99999937601388</v>
          </cell>
        </row>
        <row r="3320">
          <cell r="C3320" t="str">
            <v>TEKİRDAĞ</v>
          </cell>
          <cell r="D3320" t="str">
            <v>MARMARAEREĞLİSİ</v>
          </cell>
          <cell r="H3320" t="str">
            <v>Dağıtım-AG</v>
          </cell>
          <cell r="I3320" t="str">
            <v>Kısa</v>
          </cell>
          <cell r="J3320" t="str">
            <v>Şebeke işletmecisi</v>
          </cell>
          <cell r="K3320" t="str">
            <v>Bildirimsiz</v>
          </cell>
          <cell r="O3320">
            <v>0</v>
          </cell>
          <cell r="P3320">
            <v>0</v>
          </cell>
          <cell r="Q3320">
            <v>0</v>
          </cell>
          <cell r="R3320">
            <v>17</v>
          </cell>
          <cell r="S3320">
            <v>0</v>
          </cell>
          <cell r="T3320">
            <v>0</v>
          </cell>
          <cell r="U3320">
            <v>0</v>
          </cell>
          <cell r="V3320">
            <v>0</v>
          </cell>
          <cell r="W3320">
            <v>0</v>
          </cell>
          <cell r="X3320">
            <v>48.733333504060283</v>
          </cell>
          <cell r="Y3320">
            <v>0</v>
          </cell>
          <cell r="Z3320">
            <v>0</v>
          </cell>
        </row>
        <row r="3321">
          <cell r="C3321" t="str">
            <v>KIRKLARELİ</v>
          </cell>
          <cell r="D3321" t="str">
            <v>KIRKLARELİMERKEZ</v>
          </cell>
          <cell r="H3321" t="str">
            <v>Dağıtım-OG</v>
          </cell>
          <cell r="I3321" t="str">
            <v>Kısa</v>
          </cell>
          <cell r="J3321" t="str">
            <v>Şebeke İşletmecisi</v>
          </cell>
          <cell r="K3321" t="str">
            <v>Bildirimsiz</v>
          </cell>
          <cell r="O3321">
            <v>1</v>
          </cell>
          <cell r="P3321">
            <v>0</v>
          </cell>
          <cell r="Q3321">
            <v>6</v>
          </cell>
          <cell r="R3321">
            <v>166</v>
          </cell>
          <cell r="S3321">
            <v>35</v>
          </cell>
          <cell r="T3321">
            <v>1277</v>
          </cell>
          <cell r="U3321">
            <v>2.8666666662320495</v>
          </cell>
          <cell r="V3321">
            <v>0</v>
          </cell>
          <cell r="W3321">
            <v>17.199999997392297</v>
          </cell>
          <cell r="X3321">
            <v>475.86666659452021</v>
          </cell>
          <cell r="Y3321">
            <v>100.33333331812173</v>
          </cell>
          <cell r="Z3321">
            <v>3660.7333327783272</v>
          </cell>
        </row>
        <row r="3322">
          <cell r="C3322" t="str">
            <v>TEKİRDAĞ</v>
          </cell>
          <cell r="D3322" t="str">
            <v>SÜLEYMANPAŞA</v>
          </cell>
          <cell r="H3322" t="str">
            <v>Dağıtım-AG</v>
          </cell>
          <cell r="I3322" t="str">
            <v>Kısa</v>
          </cell>
          <cell r="J3322" t="str">
            <v>Şebeke işletmecisi</v>
          </cell>
          <cell r="K3322" t="str">
            <v>Bildirimsiz</v>
          </cell>
          <cell r="O3322">
            <v>0</v>
          </cell>
          <cell r="P3322">
            <v>72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206.39999996870756</v>
          </cell>
          <cell r="W3322">
            <v>0</v>
          </cell>
          <cell r="X3322">
            <v>0</v>
          </cell>
          <cell r="Y3322">
            <v>0</v>
          </cell>
          <cell r="Z3322">
            <v>0</v>
          </cell>
        </row>
        <row r="3323">
          <cell r="C3323" t="str">
            <v>TEKİRDAĞ</v>
          </cell>
          <cell r="D3323" t="str">
            <v>ÇERKEZKÖY</v>
          </cell>
          <cell r="H3323" t="str">
            <v>Dağıtım-OG</v>
          </cell>
          <cell r="I3323" t="str">
            <v>Kısa</v>
          </cell>
          <cell r="J3323" t="str">
            <v>Şebeke İşletmecisi</v>
          </cell>
          <cell r="K3323" t="str">
            <v>Bildirimsiz</v>
          </cell>
          <cell r="O3323">
            <v>1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2.850000006146729</v>
          </cell>
          <cell r="V3323">
            <v>0</v>
          </cell>
          <cell r="W3323">
            <v>0</v>
          </cell>
          <cell r="X3323">
            <v>0</v>
          </cell>
          <cell r="Y3323">
            <v>0</v>
          </cell>
          <cell r="Z3323">
            <v>0</v>
          </cell>
        </row>
        <row r="3324">
          <cell r="C3324" t="str">
            <v>KIRKLARELİ</v>
          </cell>
          <cell r="D3324" t="str">
            <v>LÜLEBURGAZ</v>
          </cell>
          <cell r="H3324" t="str">
            <v>Dağıtım-AG</v>
          </cell>
          <cell r="I3324" t="str">
            <v>Kısa</v>
          </cell>
          <cell r="J3324" t="str">
            <v>Şebeke işletmecisi</v>
          </cell>
          <cell r="K3324" t="str">
            <v>Bildirimsiz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72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>
            <v>0</v>
          </cell>
          <cell r="Z3324">
            <v>205.1999996881932</v>
          </cell>
        </row>
        <row r="3325">
          <cell r="C3325" t="str">
            <v>KIRKLARELİ</v>
          </cell>
          <cell r="D3325" t="str">
            <v>VİZE</v>
          </cell>
          <cell r="H3325" t="str">
            <v>Dağıtım-AG</v>
          </cell>
          <cell r="I3325" t="str">
            <v>Kısa</v>
          </cell>
          <cell r="J3325" t="str">
            <v>Şebeke işletmecisi</v>
          </cell>
          <cell r="K3325" t="str">
            <v>Bildirimsiz</v>
          </cell>
          <cell r="O3325">
            <v>0</v>
          </cell>
          <cell r="P3325">
            <v>0</v>
          </cell>
          <cell r="Q3325">
            <v>0</v>
          </cell>
          <cell r="R3325">
            <v>26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73.233333290554583</v>
          </cell>
          <cell r="Y3325">
            <v>0</v>
          </cell>
          <cell r="Z3325">
            <v>0</v>
          </cell>
        </row>
        <row r="3326">
          <cell r="C3326" t="str">
            <v>EDİRNE</v>
          </cell>
          <cell r="D3326" t="str">
            <v>HAVSA</v>
          </cell>
          <cell r="H3326" t="str">
            <v>Dağıtım-OG</v>
          </cell>
          <cell r="I3326" t="str">
            <v>Kısa</v>
          </cell>
          <cell r="J3326" t="str">
            <v>Şebeke İşletmecisi</v>
          </cell>
          <cell r="K3326" t="str">
            <v>Bildirimsiz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1</v>
          </cell>
          <cell r="T3326">
            <v>151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>
            <v>2.8000000049360096</v>
          </cell>
          <cell r="Z3326">
            <v>422.80000074533746</v>
          </cell>
        </row>
        <row r="3327">
          <cell r="C3327" t="str">
            <v>TEKİRDAĞ</v>
          </cell>
          <cell r="D3327" t="str">
            <v>SÜLEYMANPAŞA</v>
          </cell>
          <cell r="H3327" t="str">
            <v>Dağıtım-AG</v>
          </cell>
          <cell r="I3327" t="str">
            <v>Kısa</v>
          </cell>
          <cell r="J3327" t="str">
            <v>Şebeke işletmecisi</v>
          </cell>
          <cell r="K3327" t="str">
            <v>Bildirimsiz</v>
          </cell>
          <cell r="O3327">
            <v>0</v>
          </cell>
          <cell r="P3327">
            <v>25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69.999999861465767</v>
          </cell>
          <cell r="W3327">
            <v>0</v>
          </cell>
          <cell r="X3327">
            <v>0</v>
          </cell>
          <cell r="Y3327">
            <v>0</v>
          </cell>
          <cell r="Z3327">
            <v>0</v>
          </cell>
        </row>
        <row r="3328">
          <cell r="C3328" t="str">
            <v>KIRKLARELİ</v>
          </cell>
          <cell r="D3328" t="str">
            <v>LÜLEBURGAZ</v>
          </cell>
          <cell r="H3328" t="str">
            <v>Dağıtım-OG</v>
          </cell>
          <cell r="I3328" t="str">
            <v>Kısa</v>
          </cell>
          <cell r="J3328" t="str">
            <v>Şebeke İşletmecisi</v>
          </cell>
          <cell r="K3328" t="str">
            <v>Bildirimsiz</v>
          </cell>
          <cell r="O3328">
            <v>86</v>
          </cell>
          <cell r="P3328">
            <v>22164</v>
          </cell>
          <cell r="Q3328">
            <v>0</v>
          </cell>
          <cell r="R3328">
            <v>1</v>
          </cell>
          <cell r="S3328">
            <v>84</v>
          </cell>
          <cell r="T3328">
            <v>2079</v>
          </cell>
          <cell r="U3328">
            <v>236.50000032037497</v>
          </cell>
          <cell r="V3328">
            <v>60951.000082567334</v>
          </cell>
          <cell r="W3328">
            <v>0</v>
          </cell>
          <cell r="X3328">
            <v>2.7500000037252903</v>
          </cell>
          <cell r="Y3328">
            <v>231.00000031292439</v>
          </cell>
          <cell r="Z3328">
            <v>5717.2500077448785</v>
          </cell>
        </row>
        <row r="3329">
          <cell r="C3329" t="str">
            <v>KIRKLARELİ</v>
          </cell>
          <cell r="D3329" t="str">
            <v>PINARHİSAR</v>
          </cell>
          <cell r="H3329" t="str">
            <v>Dağıtım-OG</v>
          </cell>
          <cell r="I3329" t="str">
            <v>Kısa</v>
          </cell>
          <cell r="J3329" t="str">
            <v>Şebeke İşletmecisi</v>
          </cell>
          <cell r="K3329" t="str">
            <v>Bildirimsiz</v>
          </cell>
          <cell r="O3329">
            <v>0</v>
          </cell>
          <cell r="P3329">
            <v>0</v>
          </cell>
          <cell r="Q3329">
            <v>6</v>
          </cell>
          <cell r="R3329">
            <v>0</v>
          </cell>
          <cell r="S3329">
            <v>15</v>
          </cell>
          <cell r="T3329">
            <v>1888</v>
          </cell>
          <cell r="U3329">
            <v>0</v>
          </cell>
          <cell r="V3329">
            <v>0</v>
          </cell>
          <cell r="W3329">
            <v>16.499999959487468</v>
          </cell>
          <cell r="X3329">
            <v>0</v>
          </cell>
          <cell r="Y3329">
            <v>41.24999989871867</v>
          </cell>
          <cell r="Z3329">
            <v>5191.9999872520566</v>
          </cell>
        </row>
        <row r="3330">
          <cell r="C3330" t="str">
            <v>KIRKLARELİ</v>
          </cell>
          <cell r="D3330" t="str">
            <v>KIRKLARELİMERKEZ</v>
          </cell>
          <cell r="H3330" t="str">
            <v>Dağıtım-OG</v>
          </cell>
          <cell r="I3330" t="str">
            <v>Kısa</v>
          </cell>
          <cell r="J3330" t="str">
            <v>Şebeke İşletmecisi</v>
          </cell>
          <cell r="K3330" t="str">
            <v>Bildirimsiz</v>
          </cell>
          <cell r="O3330">
            <v>4</v>
          </cell>
          <cell r="P3330">
            <v>0</v>
          </cell>
          <cell r="Q3330">
            <v>0</v>
          </cell>
          <cell r="R3330">
            <v>0</v>
          </cell>
          <cell r="S3330">
            <v>10</v>
          </cell>
          <cell r="T3330">
            <v>1</v>
          </cell>
          <cell r="U3330">
            <v>10.933333332650363</v>
          </cell>
          <cell r="V3330">
            <v>0</v>
          </cell>
          <cell r="W3330">
            <v>0</v>
          </cell>
          <cell r="X3330">
            <v>0</v>
          </cell>
          <cell r="Y3330">
            <v>27.333333331625909</v>
          </cell>
          <cell r="Z3330">
            <v>2.7333333331625909</v>
          </cell>
        </row>
        <row r="3331">
          <cell r="C3331" t="str">
            <v>EDİRNE</v>
          </cell>
          <cell r="D3331" t="str">
            <v>MERİÇ</v>
          </cell>
          <cell r="H3331" t="str">
            <v>Dağıtım-AG</v>
          </cell>
          <cell r="I3331" t="str">
            <v>Kısa</v>
          </cell>
          <cell r="J3331" t="str">
            <v>Şebeke işletmecisi</v>
          </cell>
          <cell r="K3331" t="str">
            <v>Bildirimsiz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65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>
            <v>0</v>
          </cell>
          <cell r="Z3331">
            <v>176.58333306899294</v>
          </cell>
        </row>
        <row r="3332">
          <cell r="C3332" t="str">
            <v>TEKİRDAĞ</v>
          </cell>
          <cell r="D3332" t="str">
            <v>MARMARAEREĞLİSİ</v>
          </cell>
          <cell r="H3332" t="str">
            <v>Dağıtım-AG</v>
          </cell>
          <cell r="I3332" t="str">
            <v>Kısa</v>
          </cell>
          <cell r="J3332" t="str">
            <v>Şebeke işletmecisi</v>
          </cell>
          <cell r="K3332" t="str">
            <v>Bildirimsiz</v>
          </cell>
          <cell r="O3332">
            <v>0</v>
          </cell>
          <cell r="P3332">
            <v>4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10.800000010058284</v>
          </cell>
          <cell r="W3332">
            <v>0</v>
          </cell>
          <cell r="X3332">
            <v>0</v>
          </cell>
          <cell r="Y3332">
            <v>0</v>
          </cell>
          <cell r="Z3332">
            <v>0</v>
          </cell>
        </row>
        <row r="3333">
          <cell r="C3333" t="str">
            <v>KIRKLARELİ</v>
          </cell>
          <cell r="D3333" t="str">
            <v>PEHLİVANKÖY</v>
          </cell>
          <cell r="H3333" t="str">
            <v>Dağıtım-AG</v>
          </cell>
          <cell r="I3333" t="str">
            <v>Kısa</v>
          </cell>
          <cell r="J3333" t="str">
            <v>Şebeke işletmecisi</v>
          </cell>
          <cell r="K3333" t="str">
            <v>Bildirimsiz</v>
          </cell>
          <cell r="O3333">
            <v>0</v>
          </cell>
          <cell r="P3333">
            <v>0</v>
          </cell>
          <cell r="Q3333">
            <v>0</v>
          </cell>
          <cell r="R3333">
            <v>26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69.766666630748659</v>
          </cell>
          <cell r="Y3333">
            <v>0</v>
          </cell>
          <cell r="Z3333">
            <v>0</v>
          </cell>
        </row>
        <row r="3334">
          <cell r="C3334" t="str">
            <v>KIRKLARELİ</v>
          </cell>
          <cell r="D3334" t="str">
            <v>KIRKLARELİMERKEZ</v>
          </cell>
          <cell r="H3334" t="str">
            <v>Dağıtım-OG</v>
          </cell>
          <cell r="I3334" t="str">
            <v>Kısa</v>
          </cell>
          <cell r="J3334" t="str">
            <v>Şebeke İşletmecisi</v>
          </cell>
          <cell r="K3334" t="str">
            <v>Bildirimsiz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1</v>
          </cell>
          <cell r="T3334">
            <v>60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>
            <v>2.6333333307411522</v>
          </cell>
          <cell r="Z3334">
            <v>157.99999984446913</v>
          </cell>
        </row>
        <row r="3335">
          <cell r="C3335" t="str">
            <v>KIRKLARELİ</v>
          </cell>
          <cell r="D3335" t="str">
            <v>KIRKLARELİMERKEZ</v>
          </cell>
          <cell r="H3335" t="str">
            <v>Dağıtım-OG</v>
          </cell>
          <cell r="I3335" t="str">
            <v>Kısa</v>
          </cell>
          <cell r="J3335" t="str">
            <v>Şebeke İşletmecisi</v>
          </cell>
          <cell r="K3335" t="str">
            <v>Bildirimsiz</v>
          </cell>
          <cell r="O3335">
            <v>4</v>
          </cell>
          <cell r="P3335">
            <v>0</v>
          </cell>
          <cell r="Q3335">
            <v>0</v>
          </cell>
          <cell r="R3335">
            <v>0</v>
          </cell>
          <cell r="S3335">
            <v>10</v>
          </cell>
          <cell r="T3335">
            <v>1</v>
          </cell>
          <cell r="U3335">
            <v>10.400000000372529</v>
          </cell>
          <cell r="V3335">
            <v>0</v>
          </cell>
          <cell r="W3335">
            <v>0</v>
          </cell>
          <cell r="X3335">
            <v>0</v>
          </cell>
          <cell r="Y3335">
            <v>26.000000000931323</v>
          </cell>
          <cell r="Z3335">
            <v>2.6000000000931323</v>
          </cell>
        </row>
        <row r="3336">
          <cell r="C3336" t="str">
            <v>EDİRNE</v>
          </cell>
          <cell r="D3336" t="str">
            <v>MERİÇ</v>
          </cell>
          <cell r="H3336" t="str">
            <v>Dağıtım-OG</v>
          </cell>
          <cell r="I3336" t="str">
            <v>Kısa</v>
          </cell>
          <cell r="J3336" t="str">
            <v>Şebeke işletmecisi</v>
          </cell>
          <cell r="K3336" t="str">
            <v>Bildirimsiz</v>
          </cell>
          <cell r="O3336">
            <v>0</v>
          </cell>
          <cell r="P3336">
            <v>0</v>
          </cell>
          <cell r="Q3336">
            <v>0</v>
          </cell>
          <cell r="R3336">
            <v>1</v>
          </cell>
          <cell r="S3336">
            <v>4</v>
          </cell>
          <cell r="T3336">
            <v>478</v>
          </cell>
          <cell r="U3336">
            <v>0</v>
          </cell>
          <cell r="V3336">
            <v>0</v>
          </cell>
          <cell r="W3336">
            <v>0</v>
          </cell>
          <cell r="X3336">
            <v>2.6000000000931323</v>
          </cell>
          <cell r="Y3336">
            <v>10.400000000372529</v>
          </cell>
          <cell r="Z3336">
            <v>1242.8000000445172</v>
          </cell>
        </row>
        <row r="3337">
          <cell r="C3337" t="str">
            <v>KIRKLARELİ</v>
          </cell>
          <cell r="D3337" t="str">
            <v>VİZE</v>
          </cell>
          <cell r="H3337" t="str">
            <v>Dağıtım-AG</v>
          </cell>
          <cell r="I3337" t="str">
            <v>Kısa</v>
          </cell>
          <cell r="J3337" t="str">
            <v>Şebeke işletmecisi</v>
          </cell>
          <cell r="K3337" t="str">
            <v>Bildirimsiz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5</v>
          </cell>
          <cell r="U3337">
            <v>0</v>
          </cell>
          <cell r="V3337">
            <v>0</v>
          </cell>
          <cell r="W3337">
            <v>0</v>
          </cell>
          <cell r="X3337">
            <v>0</v>
          </cell>
          <cell r="Y3337">
            <v>0</v>
          </cell>
          <cell r="Z3337">
            <v>12.916666647652164</v>
          </cell>
        </row>
        <row r="3338">
          <cell r="C3338" t="str">
            <v>TEKİRDAĞ</v>
          </cell>
          <cell r="D3338" t="str">
            <v>SÜLEYMANPAŞA</v>
          </cell>
          <cell r="H3338" t="str">
            <v>Dağıtım-AG</v>
          </cell>
          <cell r="I3338" t="str">
            <v>Kısa</v>
          </cell>
          <cell r="J3338" t="str">
            <v>Şebeke işletmecisi</v>
          </cell>
          <cell r="K3338" t="str">
            <v>Bildirimsiz</v>
          </cell>
          <cell r="O3338">
            <v>0</v>
          </cell>
          <cell r="P3338">
            <v>8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  <cell r="U3338">
            <v>0</v>
          </cell>
          <cell r="V3338">
            <v>20.399999991059303</v>
          </cell>
          <cell r="W3338">
            <v>0</v>
          </cell>
          <cell r="X3338">
            <v>0</v>
          </cell>
          <cell r="Y3338">
            <v>0</v>
          </cell>
          <cell r="Z3338">
            <v>0</v>
          </cell>
        </row>
        <row r="3339">
          <cell r="C3339" t="str">
            <v>KIRKLARELİ</v>
          </cell>
          <cell r="D3339" t="str">
            <v>KIRKLARELİMERKEZ</v>
          </cell>
          <cell r="H3339" t="str">
            <v>Dağıtım-OG</v>
          </cell>
          <cell r="I3339" t="str">
            <v>Kısa</v>
          </cell>
          <cell r="J3339" t="str">
            <v>Şebeke İşletmecisi</v>
          </cell>
          <cell r="K3339" t="str">
            <v>Bildirimsiz</v>
          </cell>
          <cell r="O3339">
            <v>0</v>
          </cell>
          <cell r="P3339">
            <v>9</v>
          </cell>
          <cell r="Q3339">
            <v>0</v>
          </cell>
          <cell r="R3339">
            <v>1</v>
          </cell>
          <cell r="S3339">
            <v>23</v>
          </cell>
          <cell r="T3339">
            <v>1660</v>
          </cell>
          <cell r="U3339">
            <v>0</v>
          </cell>
          <cell r="V3339">
            <v>22.949999989941716</v>
          </cell>
          <cell r="W3339">
            <v>0</v>
          </cell>
          <cell r="X3339">
            <v>2.5499999988824129</v>
          </cell>
          <cell r="Y3339">
            <v>58.649999974295497</v>
          </cell>
          <cell r="Z3339">
            <v>4232.9999981448054</v>
          </cell>
        </row>
        <row r="3340">
          <cell r="C3340" t="str">
            <v>KIRKLARELİ</v>
          </cell>
          <cell r="D3340" t="str">
            <v>LÜLEBURGAZ</v>
          </cell>
          <cell r="H3340" t="str">
            <v>Dağıtım-AG</v>
          </cell>
          <cell r="I3340" t="str">
            <v>Kısa</v>
          </cell>
          <cell r="J3340" t="str">
            <v>Şebeke işletmecisi</v>
          </cell>
          <cell r="K3340" t="str">
            <v>Bildirimsiz</v>
          </cell>
          <cell r="O3340">
            <v>0</v>
          </cell>
          <cell r="P3340">
            <v>22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>
            <v>0</v>
          </cell>
          <cell r="V3340">
            <v>56.099999975413084</v>
          </cell>
          <cell r="W3340">
            <v>0</v>
          </cell>
          <cell r="X3340">
            <v>0</v>
          </cell>
          <cell r="Y3340">
            <v>0</v>
          </cell>
          <cell r="Z3340">
            <v>0</v>
          </cell>
        </row>
        <row r="3341">
          <cell r="C3341" t="str">
            <v>EDİRNE</v>
          </cell>
          <cell r="D3341" t="str">
            <v>UZUNKÖPRÜ</v>
          </cell>
          <cell r="H3341" t="str">
            <v>Dağıtım-AG</v>
          </cell>
          <cell r="I3341" t="str">
            <v>Kısa</v>
          </cell>
          <cell r="J3341" t="str">
            <v>Şebeke işletmecisi</v>
          </cell>
          <cell r="K3341" t="str">
            <v>Bildirimsiz</v>
          </cell>
          <cell r="O3341">
            <v>0</v>
          </cell>
          <cell r="P3341">
            <v>199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>
            <v>0</v>
          </cell>
          <cell r="V3341">
            <v>504.1333344206214</v>
          </cell>
          <cell r="W3341">
            <v>0</v>
          </cell>
          <cell r="X3341">
            <v>0</v>
          </cell>
          <cell r="Y3341">
            <v>0</v>
          </cell>
          <cell r="Z3341">
            <v>0</v>
          </cell>
        </row>
        <row r="3342">
          <cell r="C3342" t="str">
            <v>EDİRNE</v>
          </cell>
          <cell r="D3342" t="str">
            <v>İPSALA</v>
          </cell>
          <cell r="H3342" t="str">
            <v>Dağıtım-OG</v>
          </cell>
          <cell r="I3342" t="str">
            <v>Kısa</v>
          </cell>
          <cell r="J3342" t="str">
            <v>Şebeke İşletmecisi</v>
          </cell>
          <cell r="K3342" t="str">
            <v>Bildirimsiz</v>
          </cell>
          <cell r="O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2</v>
          </cell>
          <cell r="T3342">
            <v>361</v>
          </cell>
          <cell r="U3342">
            <v>0</v>
          </cell>
          <cell r="V3342">
            <v>0</v>
          </cell>
          <cell r="W3342">
            <v>0</v>
          </cell>
          <cell r="X3342">
            <v>0</v>
          </cell>
          <cell r="Y3342">
            <v>5.0666666566394269</v>
          </cell>
          <cell r="Z3342">
            <v>914.53333152341656</v>
          </cell>
        </row>
        <row r="3343">
          <cell r="C3343" t="str">
            <v>TEKİRDAĞ</v>
          </cell>
          <cell r="D3343" t="str">
            <v>ERGENE</v>
          </cell>
          <cell r="H3343" t="str">
            <v>Dağıtım-AG</v>
          </cell>
          <cell r="I3343" t="str">
            <v>Kısa</v>
          </cell>
          <cell r="J3343" t="str">
            <v>Şebeke işletmecisi</v>
          </cell>
          <cell r="K3343" t="str">
            <v>Bildirimsiz</v>
          </cell>
          <cell r="O3343">
            <v>0</v>
          </cell>
          <cell r="P3343">
            <v>17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>
            <v>0</v>
          </cell>
          <cell r="V3343">
            <v>42.783333359984681</v>
          </cell>
          <cell r="W3343">
            <v>0</v>
          </cell>
          <cell r="X3343">
            <v>0</v>
          </cell>
          <cell r="Y3343">
            <v>0</v>
          </cell>
          <cell r="Z3343">
            <v>0</v>
          </cell>
        </row>
        <row r="3344">
          <cell r="C3344" t="str">
            <v>EDİRNE</v>
          </cell>
          <cell r="D3344" t="str">
            <v>MERİÇ</v>
          </cell>
          <cell r="H3344" t="str">
            <v>Dağıtım-OG</v>
          </cell>
          <cell r="I3344" t="str">
            <v>Kısa</v>
          </cell>
          <cell r="J3344" t="str">
            <v>Şebeke İşletmecisi</v>
          </cell>
          <cell r="K3344" t="str">
            <v>Bildirimsiz</v>
          </cell>
          <cell r="O3344">
            <v>0</v>
          </cell>
          <cell r="P3344">
            <v>2</v>
          </cell>
          <cell r="Q3344">
            <v>3</v>
          </cell>
          <cell r="R3344">
            <v>587</v>
          </cell>
          <cell r="S3344">
            <v>1</v>
          </cell>
          <cell r="T3344">
            <v>3</v>
          </cell>
          <cell r="U3344">
            <v>0</v>
          </cell>
          <cell r="V3344">
            <v>5.033333336468786</v>
          </cell>
          <cell r="W3344">
            <v>7.550000004703179</v>
          </cell>
          <cell r="X3344">
            <v>1477.2833342535887</v>
          </cell>
          <cell r="Y3344">
            <v>2.516666668234393</v>
          </cell>
          <cell r="Z3344">
            <v>7.550000004703179</v>
          </cell>
        </row>
        <row r="3345">
          <cell r="C3345" t="str">
            <v>TEKİRDAĞ</v>
          </cell>
          <cell r="D3345" t="str">
            <v>ŞARKÖY</v>
          </cell>
          <cell r="H3345" t="str">
            <v>Dağıtım-OG</v>
          </cell>
          <cell r="I3345" t="str">
            <v>Kısa</v>
          </cell>
          <cell r="J3345" t="str">
            <v>Şebeke İşletmecisi</v>
          </cell>
          <cell r="K3345" t="str">
            <v>Bildirimsiz</v>
          </cell>
          <cell r="O3345">
            <v>0</v>
          </cell>
          <cell r="P3345">
            <v>0</v>
          </cell>
          <cell r="Q3345">
            <v>0</v>
          </cell>
          <cell r="R3345">
            <v>1300</v>
          </cell>
          <cell r="S3345">
            <v>0</v>
          </cell>
          <cell r="T3345">
            <v>1</v>
          </cell>
          <cell r="U3345">
            <v>0</v>
          </cell>
          <cell r="V3345">
            <v>0</v>
          </cell>
          <cell r="W3345">
            <v>0</v>
          </cell>
          <cell r="X3345">
            <v>3249.9999969732016</v>
          </cell>
          <cell r="Y3345">
            <v>0</v>
          </cell>
          <cell r="Z3345">
            <v>2.4999999976716936</v>
          </cell>
        </row>
        <row r="3346">
          <cell r="C3346" t="str">
            <v>EDİRNE</v>
          </cell>
          <cell r="D3346" t="str">
            <v>KEŞAN</v>
          </cell>
          <cell r="H3346" t="str">
            <v>Dağıtım-OG</v>
          </cell>
          <cell r="I3346" t="str">
            <v>Kısa</v>
          </cell>
          <cell r="J3346" t="str">
            <v>Şebeke işletmecisi</v>
          </cell>
          <cell r="K3346" t="str">
            <v>Bildirimsiz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355</v>
          </cell>
          <cell r="U3346">
            <v>0</v>
          </cell>
          <cell r="V3346">
            <v>0</v>
          </cell>
          <cell r="W3346">
            <v>0</v>
          </cell>
          <cell r="X3346">
            <v>0</v>
          </cell>
          <cell r="Y3346">
            <v>0</v>
          </cell>
          <cell r="Z3346">
            <v>869.74999874364585</v>
          </cell>
        </row>
        <row r="3347">
          <cell r="C3347" t="str">
            <v>EDİRNE</v>
          </cell>
          <cell r="D3347" t="str">
            <v>EDİRNEMERKEZ</v>
          </cell>
          <cell r="H3347" t="str">
            <v>Dağıtım-OG</v>
          </cell>
          <cell r="I3347" t="str">
            <v>Kısa</v>
          </cell>
          <cell r="J3347" t="str">
            <v>Şebeke İşletmecisi</v>
          </cell>
          <cell r="K3347" t="str">
            <v>Bildirimsiz</v>
          </cell>
          <cell r="O3347">
            <v>0</v>
          </cell>
          <cell r="P3347">
            <v>69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167.90000020992011</v>
          </cell>
          <cell r="W3347">
            <v>0</v>
          </cell>
          <cell r="X3347">
            <v>0</v>
          </cell>
          <cell r="Y3347">
            <v>0</v>
          </cell>
          <cell r="Z3347">
            <v>0</v>
          </cell>
        </row>
        <row r="3348">
          <cell r="C3348" t="str">
            <v>KIRKLARELİ</v>
          </cell>
          <cell r="D3348" t="str">
            <v>KIRKLARELİMERKEZ</v>
          </cell>
          <cell r="H3348" t="str">
            <v>Dağıtım-OG</v>
          </cell>
          <cell r="I3348" t="str">
            <v>Kısa</v>
          </cell>
          <cell r="J3348" t="str">
            <v>Şebeke İşletmecisi</v>
          </cell>
          <cell r="K3348" t="str">
            <v>Bildirimsiz</v>
          </cell>
          <cell r="O3348">
            <v>1</v>
          </cell>
          <cell r="P3348">
            <v>0</v>
          </cell>
          <cell r="Q3348">
            <v>6</v>
          </cell>
          <cell r="R3348">
            <v>166</v>
          </cell>
          <cell r="S3348">
            <v>37</v>
          </cell>
          <cell r="T3348">
            <v>1269</v>
          </cell>
          <cell r="U3348">
            <v>2.3999999952502549</v>
          </cell>
          <cell r="V3348">
            <v>0</v>
          </cell>
          <cell r="W3348">
            <v>14.399999971501529</v>
          </cell>
          <cell r="X3348">
            <v>398.39999921154231</v>
          </cell>
          <cell r="Y3348">
            <v>88.79999982425943</v>
          </cell>
          <cell r="Z3348">
            <v>3045.5999939725734</v>
          </cell>
        </row>
        <row r="3349">
          <cell r="C3349" t="str">
            <v>TEKİRDAĞ</v>
          </cell>
          <cell r="D3349" t="str">
            <v>SÜLEYMANPAŞA</v>
          </cell>
          <cell r="H3349" t="str">
            <v>Dağıtım-AG</v>
          </cell>
          <cell r="I3349" t="str">
            <v>Kısa</v>
          </cell>
          <cell r="J3349" t="str">
            <v>Şebeke işletmecisi</v>
          </cell>
          <cell r="K3349" t="str">
            <v>Bildirimsiz</v>
          </cell>
          <cell r="O3349">
            <v>0</v>
          </cell>
          <cell r="P3349">
            <v>59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>
            <v>0</v>
          </cell>
          <cell r="V3349">
            <v>138.65000026649795</v>
          </cell>
          <cell r="W3349">
            <v>0</v>
          </cell>
          <cell r="X3349">
            <v>0</v>
          </cell>
          <cell r="Y3349">
            <v>0</v>
          </cell>
          <cell r="Z3349">
            <v>0</v>
          </cell>
        </row>
        <row r="3350">
          <cell r="C3350" t="str">
            <v>KIRKLARELİ</v>
          </cell>
          <cell r="D3350" t="str">
            <v>DEMİRKÖY</v>
          </cell>
          <cell r="H3350" t="str">
            <v>Dağıtım-OG</v>
          </cell>
          <cell r="I3350" t="str">
            <v>Kısa</v>
          </cell>
          <cell r="J3350" t="str">
            <v>Şebeke İşletmecisi</v>
          </cell>
          <cell r="K3350" t="str">
            <v>Bildirimsiz</v>
          </cell>
          <cell r="O3350">
            <v>0</v>
          </cell>
          <cell r="P3350">
            <v>0</v>
          </cell>
          <cell r="Q3350">
            <v>0</v>
          </cell>
          <cell r="R3350">
            <v>281</v>
          </cell>
          <cell r="S3350">
            <v>4</v>
          </cell>
          <cell r="T3350">
            <v>288</v>
          </cell>
          <cell r="U3350">
            <v>0</v>
          </cell>
          <cell r="V3350">
            <v>0</v>
          </cell>
          <cell r="W3350">
            <v>0</v>
          </cell>
          <cell r="X3350">
            <v>660.34999832510948</v>
          </cell>
          <cell r="Y3350">
            <v>9.3999999761581421</v>
          </cell>
          <cell r="Z3350">
            <v>676.79999828338623</v>
          </cell>
        </row>
        <row r="3351">
          <cell r="C3351" t="str">
            <v>TEKİRDAĞ</v>
          </cell>
          <cell r="D3351" t="str">
            <v>ERGENE</v>
          </cell>
          <cell r="H3351" t="str">
            <v>Dağıtım-OG</v>
          </cell>
          <cell r="I3351" t="str">
            <v>Kısa</v>
          </cell>
          <cell r="J3351" t="str">
            <v>Şebeke İşletmecisi</v>
          </cell>
          <cell r="K3351" t="str">
            <v>Bildirimsiz</v>
          </cell>
          <cell r="O3351">
            <v>72</v>
          </cell>
          <cell r="P3351">
            <v>20</v>
          </cell>
          <cell r="Q3351">
            <v>0</v>
          </cell>
          <cell r="R3351">
            <v>0</v>
          </cell>
          <cell r="S3351">
            <v>0</v>
          </cell>
          <cell r="T3351">
            <v>5</v>
          </cell>
          <cell r="U3351">
            <v>168.00000004470348</v>
          </cell>
          <cell r="V3351">
            <v>46.666666679084301</v>
          </cell>
          <cell r="W3351">
            <v>0</v>
          </cell>
          <cell r="X3351">
            <v>0</v>
          </cell>
          <cell r="Y3351">
            <v>0</v>
          </cell>
          <cell r="Z3351">
            <v>11.666666669771075</v>
          </cell>
        </row>
        <row r="3352">
          <cell r="C3352" t="str">
            <v>EDİRNE</v>
          </cell>
          <cell r="D3352" t="str">
            <v>MERİÇ</v>
          </cell>
          <cell r="H3352" t="str">
            <v>Dağıtım-OG</v>
          </cell>
          <cell r="I3352" t="str">
            <v>Kısa</v>
          </cell>
          <cell r="J3352" t="str">
            <v>Şebeke İşletmecisi</v>
          </cell>
          <cell r="K3352" t="str">
            <v>Bildirimsiz</v>
          </cell>
          <cell r="O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1</v>
          </cell>
          <cell r="T3352">
            <v>0</v>
          </cell>
          <cell r="U3352">
            <v>0</v>
          </cell>
          <cell r="V3352">
            <v>0</v>
          </cell>
          <cell r="W3352">
            <v>0</v>
          </cell>
          <cell r="X3352">
            <v>0</v>
          </cell>
          <cell r="Y3352">
            <v>2.333333333954215</v>
          </cell>
          <cell r="Z3352">
            <v>0</v>
          </cell>
        </row>
        <row r="3353">
          <cell r="C3353" t="str">
            <v>KIRKLARELİ</v>
          </cell>
          <cell r="D3353" t="str">
            <v>VİZE</v>
          </cell>
          <cell r="H3353" t="str">
            <v>Dağıtım-OG</v>
          </cell>
          <cell r="I3353" t="str">
            <v>Kısa</v>
          </cell>
          <cell r="J3353" t="str">
            <v>Şebeke İşletmecisi</v>
          </cell>
          <cell r="K3353" t="str">
            <v>Bildirimsiz</v>
          </cell>
          <cell r="O3353">
            <v>0</v>
          </cell>
          <cell r="P3353">
            <v>0</v>
          </cell>
          <cell r="Q3353">
            <v>1</v>
          </cell>
          <cell r="R3353">
            <v>0</v>
          </cell>
          <cell r="S3353">
            <v>1</v>
          </cell>
          <cell r="T3353">
            <v>0</v>
          </cell>
          <cell r="U3353">
            <v>0</v>
          </cell>
          <cell r="V3353">
            <v>0</v>
          </cell>
          <cell r="W3353">
            <v>2.3166666633915156</v>
          </cell>
          <cell r="X3353">
            <v>0</v>
          </cell>
          <cell r="Y3353">
            <v>2.3166666633915156</v>
          </cell>
          <cell r="Z3353">
            <v>0</v>
          </cell>
        </row>
        <row r="3354">
          <cell r="C3354" t="str">
            <v>KIRKLARELİ</v>
          </cell>
          <cell r="D3354" t="str">
            <v>KIRKLARELİMERKEZ</v>
          </cell>
          <cell r="H3354" t="str">
            <v>Dağıtım-OG</v>
          </cell>
          <cell r="I3354" t="str">
            <v>Kısa</v>
          </cell>
          <cell r="J3354" t="str">
            <v>Şebeke İşletmecisi</v>
          </cell>
          <cell r="K3354" t="str">
            <v>Bildirimsiz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1</v>
          </cell>
          <cell r="T3354">
            <v>60</v>
          </cell>
          <cell r="U3354">
            <v>0</v>
          </cell>
          <cell r="V3354">
            <v>0</v>
          </cell>
          <cell r="W3354">
            <v>0</v>
          </cell>
          <cell r="X3354">
            <v>0</v>
          </cell>
          <cell r="Y3354">
            <v>2.3000000033061951</v>
          </cell>
          <cell r="Z3354">
            <v>138.00000019837171</v>
          </cell>
        </row>
        <row r="3355">
          <cell r="C3355" t="str">
            <v>TEKİRDAĞ</v>
          </cell>
          <cell r="D3355" t="str">
            <v>ERGENE</v>
          </cell>
          <cell r="H3355" t="str">
            <v>Dağıtım-AG</v>
          </cell>
          <cell r="I3355" t="str">
            <v>Kısa</v>
          </cell>
          <cell r="J3355" t="str">
            <v>Şebeke işletmecisi</v>
          </cell>
          <cell r="K3355" t="str">
            <v>Bildirimsiz</v>
          </cell>
          <cell r="O3355">
            <v>0</v>
          </cell>
          <cell r="P3355">
            <v>42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>
            <v>0</v>
          </cell>
          <cell r="V3355">
            <v>95.20000025164336</v>
          </cell>
          <cell r="W3355">
            <v>0</v>
          </cell>
          <cell r="X3355">
            <v>0</v>
          </cell>
          <cell r="Y3355">
            <v>0</v>
          </cell>
          <cell r="Z3355">
            <v>0</v>
          </cell>
        </row>
        <row r="3356">
          <cell r="C3356" t="str">
            <v>EDİRNE</v>
          </cell>
          <cell r="D3356" t="str">
            <v>ENEZ</v>
          </cell>
          <cell r="H3356" t="str">
            <v>Dağıtım-OG</v>
          </cell>
          <cell r="I3356" t="str">
            <v>Kısa</v>
          </cell>
          <cell r="J3356" t="str">
            <v>Şebeke İşletmecisi</v>
          </cell>
          <cell r="K3356" t="str">
            <v>Bildirimsiz</v>
          </cell>
          <cell r="O3356">
            <v>0</v>
          </cell>
          <cell r="P3356">
            <v>0</v>
          </cell>
          <cell r="Q3356">
            <v>15</v>
          </cell>
          <cell r="R3356">
            <v>0</v>
          </cell>
          <cell r="S3356">
            <v>3</v>
          </cell>
          <cell r="T3356">
            <v>0</v>
          </cell>
          <cell r="U3356">
            <v>0</v>
          </cell>
          <cell r="V3356">
            <v>0</v>
          </cell>
          <cell r="W3356">
            <v>33.999999932711944</v>
          </cell>
          <cell r="X3356">
            <v>0</v>
          </cell>
          <cell r="Y3356">
            <v>6.7999999865423888</v>
          </cell>
          <cell r="Z3356">
            <v>0</v>
          </cell>
        </row>
        <row r="3357">
          <cell r="C3357" t="str">
            <v>KIRKLARELİ</v>
          </cell>
          <cell r="D3357" t="str">
            <v>BABAESKİ</v>
          </cell>
          <cell r="H3357" t="str">
            <v>Dağıtım-AG</v>
          </cell>
          <cell r="I3357" t="str">
            <v>Kısa</v>
          </cell>
          <cell r="J3357" t="str">
            <v>Şebeke işletmecisi</v>
          </cell>
          <cell r="K3357" t="str">
            <v>Bildirimsiz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1</v>
          </cell>
          <cell r="U3357">
            <v>0</v>
          </cell>
          <cell r="V3357">
            <v>0</v>
          </cell>
          <cell r="W3357">
            <v>0</v>
          </cell>
          <cell r="X3357">
            <v>0</v>
          </cell>
          <cell r="Y3357">
            <v>0</v>
          </cell>
          <cell r="Z3357">
            <v>2.2333333315327764</v>
          </cell>
        </row>
        <row r="3358">
          <cell r="C3358" t="str">
            <v>TEKİRDAĞ</v>
          </cell>
          <cell r="D3358" t="str">
            <v>SÜLEYMANPAŞA</v>
          </cell>
          <cell r="H3358" t="str">
            <v>Dağıtım-AG</v>
          </cell>
          <cell r="I3358" t="str">
            <v>Kısa</v>
          </cell>
          <cell r="J3358" t="str">
            <v>Şebeke işletmecisi</v>
          </cell>
          <cell r="K3358" t="str">
            <v>Bildirimsiz</v>
          </cell>
          <cell r="O3358">
            <v>0</v>
          </cell>
          <cell r="P3358">
            <v>1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>
            <v>0</v>
          </cell>
          <cell r="V3358">
            <v>2.2333333315327764</v>
          </cell>
          <cell r="W3358">
            <v>0</v>
          </cell>
          <cell r="X3358">
            <v>0</v>
          </cell>
          <cell r="Y3358">
            <v>0</v>
          </cell>
          <cell r="Z3358">
            <v>0</v>
          </cell>
        </row>
        <row r="3359">
          <cell r="C3359" t="str">
            <v>TEKİRDAĞ</v>
          </cell>
          <cell r="D3359" t="str">
            <v>MURATLI</v>
          </cell>
          <cell r="H3359" t="str">
            <v>Dağıtım-AG</v>
          </cell>
          <cell r="I3359" t="str">
            <v>Kısa</v>
          </cell>
          <cell r="J3359" t="str">
            <v>Şebeke işletmecisi</v>
          </cell>
          <cell r="K3359" t="str">
            <v>Bildirimsiz</v>
          </cell>
          <cell r="O3359">
            <v>0</v>
          </cell>
          <cell r="P3359">
            <v>54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>
            <v>0</v>
          </cell>
          <cell r="V3359">
            <v>119.70000025816262</v>
          </cell>
          <cell r="W3359">
            <v>0</v>
          </cell>
          <cell r="X3359">
            <v>0</v>
          </cell>
          <cell r="Y3359">
            <v>0</v>
          </cell>
          <cell r="Z3359">
            <v>0</v>
          </cell>
        </row>
        <row r="3360">
          <cell r="C3360" t="str">
            <v>TEKİRDAĞ</v>
          </cell>
          <cell r="D3360" t="str">
            <v>SÜLEYMANPAŞA</v>
          </cell>
          <cell r="H3360" t="str">
            <v>Dağıtım-AG</v>
          </cell>
          <cell r="I3360" t="str">
            <v>Kısa</v>
          </cell>
          <cell r="J3360" t="str">
            <v>Şebeke işletmecisi</v>
          </cell>
          <cell r="K3360" t="str">
            <v>Bildirimsiz</v>
          </cell>
          <cell r="O3360">
            <v>0</v>
          </cell>
          <cell r="P3360">
            <v>57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>
            <v>0</v>
          </cell>
          <cell r="V3360">
            <v>126.34999967529438</v>
          </cell>
          <cell r="W3360">
            <v>0</v>
          </cell>
          <cell r="X3360">
            <v>0</v>
          </cell>
          <cell r="Y3360">
            <v>0</v>
          </cell>
          <cell r="Z3360">
            <v>0</v>
          </cell>
        </row>
        <row r="3361">
          <cell r="C3361" t="str">
            <v>KIRKLARELİ</v>
          </cell>
          <cell r="D3361" t="str">
            <v>LÜLEBURGAZ</v>
          </cell>
          <cell r="H3361" t="str">
            <v>Dağıtım-OG</v>
          </cell>
          <cell r="I3361" t="str">
            <v>Kısa</v>
          </cell>
          <cell r="J3361" t="str">
            <v>Şebeke İşletmecisi</v>
          </cell>
          <cell r="K3361" t="str">
            <v>Bildirimsiz</v>
          </cell>
          <cell r="O3361">
            <v>1</v>
          </cell>
          <cell r="P3361">
            <v>0</v>
          </cell>
          <cell r="Q3361">
            <v>0</v>
          </cell>
          <cell r="R3361">
            <v>0</v>
          </cell>
          <cell r="S3361">
            <v>20</v>
          </cell>
          <cell r="T3361">
            <v>303</v>
          </cell>
          <cell r="U3361">
            <v>2.1499999996740371</v>
          </cell>
          <cell r="V3361">
            <v>0</v>
          </cell>
          <cell r="W3361">
            <v>0</v>
          </cell>
          <cell r="X3361">
            <v>0</v>
          </cell>
          <cell r="Y3361">
            <v>42.999999993480742</v>
          </cell>
          <cell r="Z3361">
            <v>651.44999990123324</v>
          </cell>
        </row>
        <row r="3362">
          <cell r="C3362" t="str">
            <v>EDİRNE</v>
          </cell>
          <cell r="D3362" t="str">
            <v>EDİRNEMERKEZ</v>
          </cell>
          <cell r="H3362" t="str">
            <v>Dağıtım-OG</v>
          </cell>
          <cell r="I3362" t="str">
            <v>Kısa</v>
          </cell>
          <cell r="J3362" t="str">
            <v>Şebeke İşletmecisi</v>
          </cell>
          <cell r="K3362" t="str">
            <v>Bildirimsiz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1</v>
          </cell>
          <cell r="T3362">
            <v>228</v>
          </cell>
          <cell r="U3362">
            <v>0</v>
          </cell>
          <cell r="V3362">
            <v>0</v>
          </cell>
          <cell r="W3362">
            <v>0</v>
          </cell>
          <cell r="X3362">
            <v>0</v>
          </cell>
          <cell r="Y3362">
            <v>2.0999999984633178</v>
          </cell>
          <cell r="Z3362">
            <v>478.79999964963645</v>
          </cell>
        </row>
        <row r="3363">
          <cell r="C3363" t="str">
            <v>KIRKLARELİ</v>
          </cell>
          <cell r="D3363" t="str">
            <v>KIRKLARELİMERKEZ</v>
          </cell>
          <cell r="H3363" t="str">
            <v>Dağıtım-OG</v>
          </cell>
          <cell r="I3363" t="str">
            <v>Kısa</v>
          </cell>
          <cell r="J3363" t="str">
            <v>Şebeke İşletmecisi</v>
          </cell>
          <cell r="K3363" t="str">
            <v>Bildirimsiz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1</v>
          </cell>
          <cell r="T3363">
            <v>60</v>
          </cell>
          <cell r="U3363">
            <v>0</v>
          </cell>
          <cell r="V3363">
            <v>0</v>
          </cell>
          <cell r="W3363">
            <v>0</v>
          </cell>
          <cell r="X3363">
            <v>0</v>
          </cell>
          <cell r="Y3363">
            <v>2.0999999984633178</v>
          </cell>
          <cell r="Z3363">
            <v>125.99999990779907</v>
          </cell>
        </row>
        <row r="3364">
          <cell r="C3364" t="str">
            <v>KIRKLARELİ</v>
          </cell>
          <cell r="D3364" t="str">
            <v>KIRKLARELİMERKEZ</v>
          </cell>
          <cell r="H3364" t="str">
            <v>Dağıtım-OG</v>
          </cell>
          <cell r="I3364" t="str">
            <v>Kısa</v>
          </cell>
          <cell r="J3364" t="str">
            <v>Şebeke İşletmecisi</v>
          </cell>
          <cell r="K3364" t="str">
            <v>Bildirimsiz</v>
          </cell>
          <cell r="O3364">
            <v>9</v>
          </cell>
          <cell r="P3364">
            <v>321</v>
          </cell>
          <cell r="Q3364">
            <v>3</v>
          </cell>
          <cell r="R3364">
            <v>9</v>
          </cell>
          <cell r="S3364">
            <v>1</v>
          </cell>
          <cell r="T3364">
            <v>0</v>
          </cell>
          <cell r="U3364">
            <v>18.749999951105565</v>
          </cell>
          <cell r="V3364">
            <v>668.74999825609848</v>
          </cell>
          <cell r="W3364">
            <v>6.2499999837018549</v>
          </cell>
          <cell r="X3364">
            <v>18.749999951105565</v>
          </cell>
          <cell r="Y3364">
            <v>2.0833333279006183</v>
          </cell>
          <cell r="Z3364">
            <v>0</v>
          </cell>
        </row>
        <row r="3365">
          <cell r="C3365" t="str">
            <v>KIRKLARELİ</v>
          </cell>
          <cell r="D3365" t="str">
            <v>BABAESKİ</v>
          </cell>
          <cell r="H3365" t="str">
            <v>Dağıtım-AG</v>
          </cell>
          <cell r="I3365" t="str">
            <v>Uzun</v>
          </cell>
          <cell r="J3365" t="str">
            <v>Şebeke işletmecisi</v>
          </cell>
          <cell r="K3365" t="str">
            <v>Bildirimsiz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2</v>
          </cell>
          <cell r="U3365">
            <v>0</v>
          </cell>
          <cell r="V3365">
            <v>0</v>
          </cell>
          <cell r="W3365">
            <v>0</v>
          </cell>
          <cell r="X3365">
            <v>0</v>
          </cell>
          <cell r="Y3365">
            <v>0</v>
          </cell>
          <cell r="Z3365">
            <v>55.233333336655051</v>
          </cell>
        </row>
        <row r="3366">
          <cell r="C3366" t="str">
            <v>TEKİRDAĞ</v>
          </cell>
          <cell r="D3366" t="str">
            <v>ÇORLU</v>
          </cell>
          <cell r="H3366" t="str">
            <v>Dağıtım-OG</v>
          </cell>
          <cell r="I3366" t="str">
            <v>Kısa</v>
          </cell>
          <cell r="J3366" t="str">
            <v>Şebeke İşletmecisi</v>
          </cell>
          <cell r="K3366" t="str">
            <v>Bildirimsiz</v>
          </cell>
          <cell r="O3366">
            <v>0</v>
          </cell>
          <cell r="P3366">
            <v>1</v>
          </cell>
          <cell r="Q3366">
            <v>0</v>
          </cell>
          <cell r="R3366">
            <v>0</v>
          </cell>
          <cell r="S3366">
            <v>0</v>
          </cell>
          <cell r="T3366">
            <v>164</v>
          </cell>
          <cell r="U3366">
            <v>0</v>
          </cell>
          <cell r="V3366">
            <v>2.0666666678152978</v>
          </cell>
          <cell r="W3366">
            <v>0</v>
          </cell>
          <cell r="X3366">
            <v>0</v>
          </cell>
          <cell r="Y3366">
            <v>0</v>
          </cell>
          <cell r="Z3366">
            <v>338.93333352170885</v>
          </cell>
        </row>
        <row r="3367">
          <cell r="C3367" t="str">
            <v>TEKİRDAĞ</v>
          </cell>
          <cell r="D3367" t="str">
            <v>HAYRABOLU</v>
          </cell>
          <cell r="H3367" t="str">
            <v>Dağıtım-OG</v>
          </cell>
          <cell r="I3367" t="str">
            <v>Kısa</v>
          </cell>
          <cell r="J3367" t="str">
            <v>Şebeke İşletmecisi</v>
          </cell>
          <cell r="K3367" t="str">
            <v>Bildirimsiz</v>
          </cell>
          <cell r="O3367">
            <v>0</v>
          </cell>
          <cell r="P3367">
            <v>364</v>
          </cell>
          <cell r="Q3367">
            <v>11</v>
          </cell>
          <cell r="R3367">
            <v>2</v>
          </cell>
          <cell r="S3367">
            <v>9</v>
          </cell>
          <cell r="T3367">
            <v>1128</v>
          </cell>
          <cell r="U3367">
            <v>0</v>
          </cell>
          <cell r="V3367">
            <v>746.19999899994582</v>
          </cell>
          <cell r="W3367">
            <v>22.549999969778582</v>
          </cell>
          <cell r="X3367">
            <v>4.0999999945051968</v>
          </cell>
          <cell r="Y3367">
            <v>18.449999975273386</v>
          </cell>
          <cell r="Z3367">
            <v>2312.399996900931</v>
          </cell>
        </row>
        <row r="3368">
          <cell r="C3368" t="str">
            <v>KIRKLARELİ</v>
          </cell>
          <cell r="D3368" t="str">
            <v>LÜLEBURGAZ</v>
          </cell>
          <cell r="H3368" t="str">
            <v>Dağıtım-OG</v>
          </cell>
          <cell r="I3368" t="str">
            <v>Kısa</v>
          </cell>
          <cell r="J3368" t="str">
            <v>Şebeke İşletmecisi</v>
          </cell>
          <cell r="K3368" t="str">
            <v>Bildirimsiz</v>
          </cell>
          <cell r="O3368">
            <v>0</v>
          </cell>
          <cell r="P3368">
            <v>6010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12220.333293406293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</row>
        <row r="3369">
          <cell r="C3369" t="str">
            <v>KIRKLARELİ</v>
          </cell>
          <cell r="D3369" t="str">
            <v>KIRKLARELİMERKEZ</v>
          </cell>
          <cell r="H3369" t="str">
            <v>Dağıtım-OG</v>
          </cell>
          <cell r="I3369" t="str">
            <v>Kısa</v>
          </cell>
          <cell r="J3369" t="str">
            <v>Şebeke İşletmecisi</v>
          </cell>
          <cell r="K3369" t="str">
            <v>Bildirimsiz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1</v>
          </cell>
          <cell r="T3369">
            <v>60</v>
          </cell>
          <cell r="U3369">
            <v>0</v>
          </cell>
          <cell r="V3369">
            <v>0</v>
          </cell>
          <cell r="W3369">
            <v>0</v>
          </cell>
          <cell r="X3369">
            <v>0</v>
          </cell>
          <cell r="Y3369">
            <v>2.000000006519258</v>
          </cell>
          <cell r="Z3369">
            <v>120.00000039115548</v>
          </cell>
        </row>
        <row r="3370">
          <cell r="C3370" t="str">
            <v>KIRKLARELİ</v>
          </cell>
          <cell r="D3370" t="str">
            <v>KIRKLARELİMERKEZ</v>
          </cell>
          <cell r="H3370" t="str">
            <v>Dağıtım-OG</v>
          </cell>
          <cell r="I3370" t="str">
            <v>Kısa</v>
          </cell>
          <cell r="J3370" t="str">
            <v>Şebeke işletmecisi</v>
          </cell>
          <cell r="K3370" t="str">
            <v>Bildirimsiz</v>
          </cell>
          <cell r="O3370">
            <v>1</v>
          </cell>
          <cell r="P3370">
            <v>0</v>
          </cell>
          <cell r="Q3370">
            <v>6</v>
          </cell>
          <cell r="R3370">
            <v>165</v>
          </cell>
          <cell r="S3370">
            <v>37</v>
          </cell>
          <cell r="T3370">
            <v>1277</v>
          </cell>
          <cell r="U3370">
            <v>1.9999999960418791</v>
          </cell>
          <cell r="V3370">
            <v>0</v>
          </cell>
          <cell r="W3370">
            <v>11.999999976251274</v>
          </cell>
          <cell r="X3370">
            <v>329.99999934691004</v>
          </cell>
          <cell r="Y3370">
            <v>73.999999853549525</v>
          </cell>
          <cell r="Z3370">
            <v>2553.9999949454796</v>
          </cell>
        </row>
        <row r="3371">
          <cell r="C3371" t="str">
            <v>KIRKLARELİ</v>
          </cell>
          <cell r="D3371" t="str">
            <v>VİZE</v>
          </cell>
          <cell r="H3371" t="str">
            <v>Dağıtım-AG</v>
          </cell>
          <cell r="I3371" t="str">
            <v>Kısa</v>
          </cell>
          <cell r="J3371" t="str">
            <v>Şebeke işletmecisi</v>
          </cell>
          <cell r="K3371" t="str">
            <v>Bildirimsiz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5</v>
          </cell>
          <cell r="U3371">
            <v>0</v>
          </cell>
          <cell r="V3371">
            <v>0</v>
          </cell>
          <cell r="W3371">
            <v>0</v>
          </cell>
          <cell r="X3371">
            <v>0</v>
          </cell>
          <cell r="Y3371">
            <v>0</v>
          </cell>
          <cell r="Z3371">
            <v>9.8333333269692957</v>
          </cell>
        </row>
        <row r="3372">
          <cell r="C3372" t="str">
            <v>TEKİRDAĞ</v>
          </cell>
          <cell r="D3372" t="str">
            <v>ÇORLU</v>
          </cell>
          <cell r="H3372" t="str">
            <v>Dağıtım-OG</v>
          </cell>
          <cell r="I3372" t="str">
            <v>Kısa</v>
          </cell>
          <cell r="J3372" t="str">
            <v>Şebeke işletmecisi</v>
          </cell>
          <cell r="K3372" t="str">
            <v>Bildirimsiz</v>
          </cell>
          <cell r="O3372">
            <v>5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>
            <v>9.6666666737291962</v>
          </cell>
          <cell r="V3372">
            <v>0</v>
          </cell>
          <cell r="W3372">
            <v>0</v>
          </cell>
          <cell r="X3372">
            <v>0</v>
          </cell>
          <cell r="Y3372">
            <v>0</v>
          </cell>
          <cell r="Z3372">
            <v>0</v>
          </cell>
        </row>
        <row r="3373">
          <cell r="C3373" t="str">
            <v>EDİRNE</v>
          </cell>
          <cell r="D3373" t="str">
            <v>EDİRNEMERKEZ</v>
          </cell>
          <cell r="H3373" t="str">
            <v>Dağıtım-OG</v>
          </cell>
          <cell r="I3373" t="str">
            <v>Kısa</v>
          </cell>
          <cell r="J3373" t="str">
            <v>Şebeke İşletmecisi</v>
          </cell>
          <cell r="K3373" t="str">
            <v>Bildirimsiz</v>
          </cell>
          <cell r="O3373">
            <v>28</v>
          </cell>
          <cell r="P3373">
            <v>542</v>
          </cell>
          <cell r="Q3373">
            <v>0</v>
          </cell>
          <cell r="R3373">
            <v>1</v>
          </cell>
          <cell r="S3373">
            <v>5</v>
          </cell>
          <cell r="T3373">
            <v>0</v>
          </cell>
          <cell r="U3373">
            <v>53.666666890494525</v>
          </cell>
          <cell r="V3373">
            <v>1038.8333376660012</v>
          </cell>
          <cell r="W3373">
            <v>0</v>
          </cell>
          <cell r="X3373">
            <v>1.9166666746605188</v>
          </cell>
          <cell r="Y3373">
            <v>9.5833333733025938</v>
          </cell>
          <cell r="Z3373">
            <v>0</v>
          </cell>
        </row>
        <row r="3374">
          <cell r="C3374" t="str">
            <v>TEKİRDAĞ</v>
          </cell>
          <cell r="D3374" t="str">
            <v>MARMARAEREĞLİSİ</v>
          </cell>
          <cell r="H3374" t="str">
            <v>Dağıtım-AG</v>
          </cell>
          <cell r="I3374" t="str">
            <v>Kısa</v>
          </cell>
          <cell r="J3374" t="str">
            <v>Şebeke işletmecisi</v>
          </cell>
          <cell r="K3374" t="str">
            <v>Bildirimsiz</v>
          </cell>
          <cell r="O3374">
            <v>0</v>
          </cell>
          <cell r="P3374">
            <v>2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>
            <v>0</v>
          </cell>
          <cell r="V3374">
            <v>3.8333333283662796</v>
          </cell>
          <cell r="W3374">
            <v>0</v>
          </cell>
          <cell r="X3374">
            <v>0</v>
          </cell>
          <cell r="Y3374">
            <v>0</v>
          </cell>
          <cell r="Z3374">
            <v>0</v>
          </cell>
        </row>
        <row r="3375">
          <cell r="C3375" t="str">
            <v>TEKİRDAĞ</v>
          </cell>
          <cell r="D3375" t="str">
            <v>SÜLEYMANPAŞA</v>
          </cell>
          <cell r="H3375" t="str">
            <v>Dağıtım-AG</v>
          </cell>
          <cell r="I3375" t="str">
            <v>Kısa</v>
          </cell>
          <cell r="J3375" t="str">
            <v>Şebeke işletmecisi</v>
          </cell>
          <cell r="K3375" t="str">
            <v>Bildirimsiz</v>
          </cell>
          <cell r="O3375">
            <v>0</v>
          </cell>
          <cell r="P3375">
            <v>12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>
            <v>0</v>
          </cell>
          <cell r="V3375">
            <v>22.799999923445284</v>
          </cell>
          <cell r="W3375">
            <v>0</v>
          </cell>
          <cell r="X3375">
            <v>0</v>
          </cell>
          <cell r="Y3375">
            <v>0</v>
          </cell>
          <cell r="Z3375">
            <v>0</v>
          </cell>
        </row>
        <row r="3376">
          <cell r="C3376" t="str">
            <v>KIRKLARELİ</v>
          </cell>
          <cell r="D3376" t="str">
            <v>LÜLEBURGAZ</v>
          </cell>
          <cell r="H3376" t="str">
            <v>Dağıtım-OG</v>
          </cell>
          <cell r="I3376" t="str">
            <v>Kısa</v>
          </cell>
          <cell r="J3376" t="str">
            <v>Şebeke işletmecisi</v>
          </cell>
          <cell r="K3376" t="str">
            <v>Bildirimsiz</v>
          </cell>
          <cell r="O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14</v>
          </cell>
          <cell r="T3376">
            <v>372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>
            <v>26.366666669491678</v>
          </cell>
          <cell r="Z3376">
            <v>700.6000000750646</v>
          </cell>
        </row>
        <row r="3377">
          <cell r="C3377" t="str">
            <v>TEKİRDAĞ</v>
          </cell>
          <cell r="D3377" t="str">
            <v>HAYRABOLU</v>
          </cell>
          <cell r="H3377" t="str">
            <v>Dağıtım-OG</v>
          </cell>
          <cell r="I3377" t="str">
            <v>Kısa</v>
          </cell>
          <cell r="J3377" t="str">
            <v>Şebeke İşletmecisi</v>
          </cell>
          <cell r="K3377" t="str">
            <v>Bildirimsiz</v>
          </cell>
          <cell r="O3377">
            <v>0</v>
          </cell>
          <cell r="P3377">
            <v>1</v>
          </cell>
          <cell r="Q3377">
            <v>15</v>
          </cell>
          <cell r="R3377">
            <v>1</v>
          </cell>
          <cell r="S3377">
            <v>11</v>
          </cell>
          <cell r="T3377">
            <v>1381</v>
          </cell>
          <cell r="U3377">
            <v>0</v>
          </cell>
          <cell r="V3377">
            <v>1.8833333335351199</v>
          </cell>
          <cell r="W3377">
            <v>28.250000003026798</v>
          </cell>
          <cell r="X3377">
            <v>1.8833333335351199</v>
          </cell>
          <cell r="Y3377">
            <v>20.716666668886319</v>
          </cell>
          <cell r="Z3377">
            <v>2600.8833336120006</v>
          </cell>
        </row>
        <row r="3378">
          <cell r="C3378" t="str">
            <v>KIRKLARELİ</v>
          </cell>
          <cell r="D3378" t="str">
            <v>LÜLEBURGAZ</v>
          </cell>
          <cell r="H3378" t="str">
            <v>Dağıtım-AG</v>
          </cell>
          <cell r="I3378" t="str">
            <v>Kısa</v>
          </cell>
          <cell r="J3378" t="str">
            <v>Şebeke işletmecisi</v>
          </cell>
          <cell r="K3378" t="str">
            <v>Bildirimsiz</v>
          </cell>
          <cell r="O3378">
            <v>0</v>
          </cell>
          <cell r="P3378">
            <v>163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306.98333336622454</v>
          </cell>
          <cell r="W3378">
            <v>0</v>
          </cell>
          <cell r="X3378">
            <v>0</v>
          </cell>
          <cell r="Y3378">
            <v>0</v>
          </cell>
          <cell r="Z3378">
            <v>0</v>
          </cell>
        </row>
        <row r="3379">
          <cell r="C3379" t="str">
            <v>TEKİRDAĞ</v>
          </cell>
          <cell r="D3379" t="str">
            <v>KAPAKLI</v>
          </cell>
          <cell r="H3379" t="str">
            <v>Dağıtım-AG</v>
          </cell>
          <cell r="I3379" t="str">
            <v>Kısa</v>
          </cell>
          <cell r="J3379" t="str">
            <v>Şebeke işletmecisi</v>
          </cell>
          <cell r="K3379" t="str">
            <v>Bildirimsiz</v>
          </cell>
          <cell r="O3379">
            <v>0</v>
          </cell>
          <cell r="P3379">
            <v>247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461.06666834210046</v>
          </cell>
          <cell r="W3379">
            <v>0</v>
          </cell>
          <cell r="X3379">
            <v>0</v>
          </cell>
          <cell r="Y3379">
            <v>0</v>
          </cell>
          <cell r="Z3379">
            <v>0</v>
          </cell>
        </row>
        <row r="3380">
          <cell r="C3380" t="str">
            <v>TEKİRDAĞ</v>
          </cell>
          <cell r="D3380" t="str">
            <v>ÇERKEZKÖY</v>
          </cell>
          <cell r="H3380" t="str">
            <v>Dağıtım-OG</v>
          </cell>
          <cell r="I3380" t="str">
            <v>Kısa</v>
          </cell>
          <cell r="J3380" t="str">
            <v>Şebeke İşletmecisi</v>
          </cell>
          <cell r="K3380" t="str">
            <v>Bildirimsiz</v>
          </cell>
          <cell r="O3380">
            <v>0</v>
          </cell>
          <cell r="P3380">
            <v>85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157.2500002454035</v>
          </cell>
          <cell r="W3380">
            <v>0</v>
          </cell>
          <cell r="X3380">
            <v>0</v>
          </cell>
          <cell r="Y3380">
            <v>0</v>
          </cell>
          <cell r="Z3380">
            <v>0</v>
          </cell>
        </row>
        <row r="3381">
          <cell r="C3381" t="str">
            <v>TEKİRDAĞ</v>
          </cell>
          <cell r="D3381" t="str">
            <v>ERGENE</v>
          </cell>
          <cell r="H3381" t="str">
            <v>Dağıtım-OG</v>
          </cell>
          <cell r="I3381" t="str">
            <v>Kısa</v>
          </cell>
          <cell r="J3381" t="str">
            <v>Şebeke İşletmecisi</v>
          </cell>
          <cell r="K3381" t="str">
            <v>Bildirimsiz</v>
          </cell>
          <cell r="O3381">
            <v>7</v>
          </cell>
          <cell r="P3381">
            <v>348</v>
          </cell>
          <cell r="Q3381">
            <v>0</v>
          </cell>
          <cell r="R3381">
            <v>0</v>
          </cell>
          <cell r="S3381">
            <v>36</v>
          </cell>
          <cell r="T3381">
            <v>1059</v>
          </cell>
          <cell r="U3381">
            <v>12.9500000202097</v>
          </cell>
          <cell r="V3381">
            <v>643.80000100471079</v>
          </cell>
          <cell r="W3381">
            <v>0</v>
          </cell>
          <cell r="X3381">
            <v>0</v>
          </cell>
          <cell r="Y3381">
            <v>66.600000103935599</v>
          </cell>
          <cell r="Z3381">
            <v>1959.1500030574389</v>
          </cell>
        </row>
        <row r="3382">
          <cell r="C3382" t="str">
            <v>TEKİRDAĞ</v>
          </cell>
          <cell r="D3382" t="str">
            <v>ERGENE</v>
          </cell>
          <cell r="H3382" t="str">
            <v>Dağıtım-OG</v>
          </cell>
          <cell r="I3382" t="str">
            <v>Kısa</v>
          </cell>
          <cell r="J3382" t="str">
            <v>Şebeke İşletmecisi</v>
          </cell>
          <cell r="K3382" t="str">
            <v>Bildirimsiz</v>
          </cell>
          <cell r="O3382">
            <v>12</v>
          </cell>
          <cell r="P3382">
            <v>262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22.199999908916652</v>
          </cell>
          <cell r="V3382">
            <v>484.69999801134691</v>
          </cell>
          <cell r="W3382">
            <v>0</v>
          </cell>
          <cell r="X3382">
            <v>0</v>
          </cell>
          <cell r="Y3382">
            <v>0</v>
          </cell>
          <cell r="Z3382">
            <v>0</v>
          </cell>
        </row>
        <row r="3383">
          <cell r="C3383" t="str">
            <v>KIRKLARELİ</v>
          </cell>
          <cell r="D3383" t="str">
            <v>KIRKLARELİMERKEZ</v>
          </cell>
          <cell r="H3383" t="str">
            <v>Dağıtım-OG</v>
          </cell>
          <cell r="I3383" t="str">
            <v>Kısa</v>
          </cell>
          <cell r="J3383" t="str">
            <v>Şebeke İşletmecisi</v>
          </cell>
          <cell r="K3383" t="str">
            <v>Bildirimsiz</v>
          </cell>
          <cell r="O3383">
            <v>4</v>
          </cell>
          <cell r="P3383">
            <v>0</v>
          </cell>
          <cell r="Q3383">
            <v>0</v>
          </cell>
          <cell r="R3383">
            <v>0</v>
          </cell>
          <cell r="S3383">
            <v>10</v>
          </cell>
          <cell r="T3383">
            <v>1</v>
          </cell>
          <cell r="U3383">
            <v>7.2666666889563203</v>
          </cell>
          <cell r="V3383">
            <v>0</v>
          </cell>
          <cell r="W3383">
            <v>0</v>
          </cell>
          <cell r="X3383">
            <v>0</v>
          </cell>
          <cell r="Y3383">
            <v>18.166666722390801</v>
          </cell>
          <cell r="Z3383">
            <v>1.8166666722390801</v>
          </cell>
        </row>
        <row r="3384">
          <cell r="C3384" t="str">
            <v>KIRKLARELİ</v>
          </cell>
          <cell r="D3384" t="str">
            <v>VİZE</v>
          </cell>
          <cell r="H3384" t="str">
            <v>Dağıtım-AG</v>
          </cell>
          <cell r="I3384" t="str">
            <v>Kısa</v>
          </cell>
          <cell r="J3384" t="str">
            <v>Şebeke işletmecisi</v>
          </cell>
          <cell r="K3384" t="str">
            <v>Bildirimsiz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6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>
            <v>0</v>
          </cell>
          <cell r="Z3384">
            <v>10.899999970570207</v>
          </cell>
        </row>
        <row r="3385">
          <cell r="C3385" t="str">
            <v>TEKİRDAĞ</v>
          </cell>
          <cell r="D3385" t="str">
            <v>ERGENE</v>
          </cell>
          <cell r="H3385" t="str">
            <v>Dağıtım-OG</v>
          </cell>
          <cell r="I3385" t="str">
            <v>Kısa</v>
          </cell>
          <cell r="J3385" t="str">
            <v>Şebeke İşletmecisi</v>
          </cell>
          <cell r="K3385" t="str">
            <v>Bildirimsiz</v>
          </cell>
          <cell r="O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2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>
            <v>3.5666666622273624</v>
          </cell>
          <cell r="Z3385">
            <v>0</v>
          </cell>
        </row>
        <row r="3386">
          <cell r="C3386" t="str">
            <v>TEKİRDAĞ</v>
          </cell>
          <cell r="D3386" t="str">
            <v>SÜLEYMANPAŞA</v>
          </cell>
          <cell r="H3386" t="str">
            <v>Dağıtım-OG</v>
          </cell>
          <cell r="I3386" t="str">
            <v>Kısa</v>
          </cell>
          <cell r="J3386" t="str">
            <v>Şebeke İşletmecisi</v>
          </cell>
          <cell r="K3386" t="str">
            <v>Bildirimsiz</v>
          </cell>
          <cell r="O3386">
            <v>1</v>
          </cell>
          <cell r="P3386">
            <v>1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1.7833333311136812</v>
          </cell>
          <cell r="V3386">
            <v>1.7833333311136812</v>
          </cell>
          <cell r="W3386">
            <v>0</v>
          </cell>
          <cell r="X3386">
            <v>0</v>
          </cell>
          <cell r="Y3386">
            <v>0</v>
          </cell>
          <cell r="Z3386">
            <v>0</v>
          </cell>
        </row>
        <row r="3387">
          <cell r="C3387" t="str">
            <v>TEKİRDAĞ</v>
          </cell>
          <cell r="D3387" t="str">
            <v>ÇORLU</v>
          </cell>
          <cell r="H3387" t="str">
            <v>Dağıtım-OG</v>
          </cell>
          <cell r="I3387" t="str">
            <v>Kısa</v>
          </cell>
          <cell r="J3387" t="str">
            <v>Şebeke işletmecisi</v>
          </cell>
          <cell r="K3387" t="str">
            <v>Bildirimsiz</v>
          </cell>
          <cell r="O3387">
            <v>0</v>
          </cell>
          <cell r="P3387">
            <v>2</v>
          </cell>
          <cell r="Q3387">
            <v>0</v>
          </cell>
          <cell r="R3387">
            <v>0</v>
          </cell>
          <cell r="S3387">
            <v>0</v>
          </cell>
          <cell r="T3387">
            <v>89</v>
          </cell>
          <cell r="U3387">
            <v>0</v>
          </cell>
          <cell r="V3387">
            <v>3.5333333420567214</v>
          </cell>
          <cell r="W3387">
            <v>0</v>
          </cell>
          <cell r="X3387">
            <v>0</v>
          </cell>
          <cell r="Y3387">
            <v>0</v>
          </cell>
          <cell r="Z3387">
            <v>157.2333337215241</v>
          </cell>
        </row>
        <row r="3388">
          <cell r="C3388" t="str">
            <v>KIRKLARELİ</v>
          </cell>
          <cell r="D3388" t="str">
            <v>DEMİRKÖY</v>
          </cell>
          <cell r="H3388" t="str">
            <v>Dağıtım-OG</v>
          </cell>
          <cell r="I3388" t="str">
            <v>Kısa</v>
          </cell>
          <cell r="J3388" t="str">
            <v>Şebeke İşletmecisi</v>
          </cell>
          <cell r="K3388" t="str">
            <v>Bildirimsiz</v>
          </cell>
          <cell r="O3388">
            <v>0</v>
          </cell>
          <cell r="P3388">
            <v>0</v>
          </cell>
          <cell r="Q3388">
            <v>14</v>
          </cell>
          <cell r="R3388">
            <v>3809</v>
          </cell>
          <cell r="S3388">
            <v>15</v>
          </cell>
          <cell r="T3388">
            <v>666</v>
          </cell>
          <cell r="U3388">
            <v>0</v>
          </cell>
          <cell r="V3388">
            <v>0</v>
          </cell>
          <cell r="W3388">
            <v>24.500000006519258</v>
          </cell>
          <cell r="X3388">
            <v>6665.7500017737038</v>
          </cell>
          <cell r="Y3388">
            <v>26.250000006984919</v>
          </cell>
          <cell r="Z3388">
            <v>1165.5000003101304</v>
          </cell>
        </row>
        <row r="3389">
          <cell r="C3389" t="str">
            <v>EDİRNE</v>
          </cell>
          <cell r="D3389" t="str">
            <v>İPSALA</v>
          </cell>
          <cell r="H3389" t="str">
            <v>Dağıtım-OG</v>
          </cell>
          <cell r="I3389" t="str">
            <v>Kısa</v>
          </cell>
          <cell r="J3389" t="str">
            <v>Şebeke İşletmecisi</v>
          </cell>
          <cell r="K3389" t="str">
            <v>Bildirimsiz</v>
          </cell>
          <cell r="O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1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>
            <v>1.7333333403803408</v>
          </cell>
          <cell r="Z3389">
            <v>0</v>
          </cell>
        </row>
        <row r="3390">
          <cell r="C3390" t="str">
            <v>EDİRNE</v>
          </cell>
          <cell r="D3390" t="str">
            <v>UZUNKÖPRÜ</v>
          </cell>
          <cell r="H3390" t="str">
            <v>Dağıtım-AG</v>
          </cell>
          <cell r="I3390" t="str">
            <v>Kısa</v>
          </cell>
          <cell r="J3390" t="str">
            <v>Şebeke işletmecisi</v>
          </cell>
          <cell r="K3390" t="str">
            <v>Bildirimsiz</v>
          </cell>
          <cell r="O3390">
            <v>0</v>
          </cell>
          <cell r="P3390">
            <v>4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6.9333333196118474</v>
          </cell>
          <cell r="W3390">
            <v>0</v>
          </cell>
          <cell r="X3390">
            <v>0</v>
          </cell>
          <cell r="Y3390">
            <v>0</v>
          </cell>
          <cell r="Z3390">
            <v>0</v>
          </cell>
        </row>
        <row r="3391">
          <cell r="C3391" t="str">
            <v>TEKİRDAĞ</v>
          </cell>
          <cell r="D3391" t="str">
            <v>MARMARAEREĞLİSİ</v>
          </cell>
          <cell r="H3391" t="str">
            <v>Dağıtım-AG</v>
          </cell>
          <cell r="I3391" t="str">
            <v>Uzun</v>
          </cell>
          <cell r="J3391" t="str">
            <v>Şebeke işletmecisi</v>
          </cell>
          <cell r="K3391" t="str">
            <v>Bildirimsiz</v>
          </cell>
          <cell r="O3391">
            <v>0</v>
          </cell>
          <cell r="P3391">
            <v>0</v>
          </cell>
          <cell r="Q3391">
            <v>0</v>
          </cell>
          <cell r="R3391">
            <v>4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102.79999997466803</v>
          </cell>
          <cell r="Y3391">
            <v>0</v>
          </cell>
          <cell r="Z3391">
            <v>0</v>
          </cell>
        </row>
        <row r="3392">
          <cell r="C3392" t="str">
            <v>TEKİRDAĞ</v>
          </cell>
          <cell r="D3392" t="str">
            <v>ÇORLU</v>
          </cell>
          <cell r="H3392" t="str">
            <v>Dağıtım-OG</v>
          </cell>
          <cell r="I3392" t="str">
            <v>Kısa</v>
          </cell>
          <cell r="J3392" t="str">
            <v>Şebeke İşletmecisi</v>
          </cell>
          <cell r="K3392" t="str">
            <v>Bildirimsiz</v>
          </cell>
          <cell r="O3392">
            <v>1</v>
          </cell>
          <cell r="P3392">
            <v>14</v>
          </cell>
          <cell r="Q3392">
            <v>0</v>
          </cell>
          <cell r="R3392">
            <v>0</v>
          </cell>
          <cell r="S3392">
            <v>16</v>
          </cell>
          <cell r="T3392">
            <v>2100</v>
          </cell>
          <cell r="U3392">
            <v>1.6999999992549419</v>
          </cell>
          <cell r="V3392">
            <v>23.799999989569187</v>
          </cell>
          <cell r="W3392">
            <v>0</v>
          </cell>
          <cell r="X3392">
            <v>0</v>
          </cell>
          <cell r="Y3392">
            <v>27.199999988079071</v>
          </cell>
          <cell r="Z3392">
            <v>3569.9999984353781</v>
          </cell>
        </row>
        <row r="3393">
          <cell r="C3393" t="str">
            <v>KIRKLARELİ</v>
          </cell>
          <cell r="D3393" t="str">
            <v>DEMİRKÖY</v>
          </cell>
          <cell r="H3393" t="str">
            <v>Dağıtım-AG</v>
          </cell>
          <cell r="I3393" t="str">
            <v>Kısa</v>
          </cell>
          <cell r="J3393" t="str">
            <v>Şebeke işletmecisi</v>
          </cell>
          <cell r="K3393" t="str">
            <v>Bildirimsiz</v>
          </cell>
          <cell r="O3393">
            <v>0</v>
          </cell>
          <cell r="P3393">
            <v>0</v>
          </cell>
          <cell r="Q3393">
            <v>0</v>
          </cell>
          <cell r="R3393">
            <v>28</v>
          </cell>
          <cell r="S3393">
            <v>0</v>
          </cell>
          <cell r="T3393">
            <v>0</v>
          </cell>
          <cell r="U3393">
            <v>0</v>
          </cell>
          <cell r="V3393">
            <v>0</v>
          </cell>
          <cell r="W3393">
            <v>0</v>
          </cell>
          <cell r="X3393">
            <v>47.599999979138374</v>
          </cell>
          <cell r="Y3393">
            <v>0</v>
          </cell>
          <cell r="Z3393">
            <v>0</v>
          </cell>
        </row>
        <row r="3394">
          <cell r="C3394" t="str">
            <v>TEKİRDAĞ</v>
          </cell>
          <cell r="D3394" t="str">
            <v>MARMARAEREĞLİSİ</v>
          </cell>
          <cell r="H3394" t="str">
            <v>Dağıtım-AG</v>
          </cell>
          <cell r="I3394" t="str">
            <v>Kısa</v>
          </cell>
          <cell r="J3394" t="str">
            <v>Şebeke işletmecisi</v>
          </cell>
          <cell r="K3394" t="str">
            <v>Bildirimsiz</v>
          </cell>
          <cell r="O3394">
            <v>0</v>
          </cell>
          <cell r="P3394">
            <v>3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>
            <v>0</v>
          </cell>
          <cell r="V3394">
            <v>5.0500000175088644</v>
          </cell>
          <cell r="W3394">
            <v>0</v>
          </cell>
          <cell r="X3394">
            <v>0</v>
          </cell>
          <cell r="Y3394">
            <v>0</v>
          </cell>
          <cell r="Z3394">
            <v>0</v>
          </cell>
        </row>
        <row r="3395">
          <cell r="C3395" t="str">
            <v>TEKİRDAĞ</v>
          </cell>
          <cell r="D3395" t="str">
            <v>ÇORLU</v>
          </cell>
          <cell r="H3395" t="str">
            <v>Dağıtım-OG</v>
          </cell>
          <cell r="I3395" t="str">
            <v>Kısa</v>
          </cell>
          <cell r="J3395" t="str">
            <v>Şebeke İşletmecisi</v>
          </cell>
          <cell r="K3395" t="str">
            <v>Bildirimsiz</v>
          </cell>
          <cell r="O3395">
            <v>5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>
            <v>8.4166666958481073</v>
          </cell>
          <cell r="V3395">
            <v>0</v>
          </cell>
          <cell r="W3395">
            <v>0</v>
          </cell>
          <cell r="X3395">
            <v>0</v>
          </cell>
          <cell r="Y3395">
            <v>0</v>
          </cell>
          <cell r="Z3395">
            <v>0</v>
          </cell>
        </row>
        <row r="3396">
          <cell r="C3396" t="str">
            <v>KIRKLARELİ</v>
          </cell>
          <cell r="D3396" t="str">
            <v>BABAESKİ</v>
          </cell>
          <cell r="H3396" t="str">
            <v>Dağıtım-AG</v>
          </cell>
          <cell r="I3396" t="str">
            <v>Kısa</v>
          </cell>
          <cell r="J3396" t="str">
            <v>Şebeke işletmecisi</v>
          </cell>
          <cell r="K3396" t="str">
            <v>Bildirimsiz</v>
          </cell>
          <cell r="O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4</v>
          </cell>
          <cell r="U3396">
            <v>0</v>
          </cell>
          <cell r="V3396">
            <v>0</v>
          </cell>
          <cell r="W3396">
            <v>0</v>
          </cell>
          <cell r="X3396">
            <v>0</v>
          </cell>
          <cell r="Y3396">
            <v>0</v>
          </cell>
          <cell r="Z3396">
            <v>6.6666666744276881</v>
          </cell>
        </row>
        <row r="3397">
          <cell r="C3397" t="str">
            <v>EDİRNE</v>
          </cell>
          <cell r="D3397" t="str">
            <v>MERİÇ</v>
          </cell>
          <cell r="H3397" t="str">
            <v>Dağıtım-OG</v>
          </cell>
          <cell r="I3397" t="str">
            <v>Kısa</v>
          </cell>
          <cell r="J3397" t="str">
            <v>Şebeke İşletmecisi</v>
          </cell>
          <cell r="K3397" t="str">
            <v>Bildirimsiz</v>
          </cell>
          <cell r="O3397">
            <v>0</v>
          </cell>
          <cell r="P3397">
            <v>0</v>
          </cell>
          <cell r="Q3397">
            <v>1</v>
          </cell>
          <cell r="R3397">
            <v>0</v>
          </cell>
          <cell r="S3397">
            <v>5</v>
          </cell>
          <cell r="T3397">
            <v>379</v>
          </cell>
          <cell r="U3397">
            <v>0</v>
          </cell>
          <cell r="V3397">
            <v>0</v>
          </cell>
          <cell r="W3397">
            <v>1.666666668606922</v>
          </cell>
          <cell r="X3397">
            <v>0</v>
          </cell>
          <cell r="Y3397">
            <v>8.3333333430346102</v>
          </cell>
          <cell r="Z3397">
            <v>631.66666740202345</v>
          </cell>
        </row>
        <row r="3398">
          <cell r="C3398" t="str">
            <v>TEKİRDAĞ</v>
          </cell>
          <cell r="D3398" t="str">
            <v>MARMARAEREĞLİSİ</v>
          </cell>
          <cell r="H3398" t="str">
            <v>Dağıtım-AG</v>
          </cell>
          <cell r="I3398" t="str">
            <v>Kısa</v>
          </cell>
          <cell r="J3398" t="str">
            <v>Şebeke işletmecisi</v>
          </cell>
          <cell r="K3398" t="str">
            <v>Bildirimsiz</v>
          </cell>
          <cell r="O3398">
            <v>0</v>
          </cell>
          <cell r="P3398">
            <v>0</v>
          </cell>
          <cell r="Q3398">
            <v>0</v>
          </cell>
          <cell r="R3398">
            <v>2</v>
          </cell>
          <cell r="S3398">
            <v>0</v>
          </cell>
          <cell r="T3398">
            <v>0</v>
          </cell>
          <cell r="U3398">
            <v>0</v>
          </cell>
          <cell r="V3398">
            <v>0</v>
          </cell>
          <cell r="W3398">
            <v>0</v>
          </cell>
          <cell r="X3398">
            <v>3.3000000170432031</v>
          </cell>
          <cell r="Y3398">
            <v>0</v>
          </cell>
          <cell r="Z3398">
            <v>0</v>
          </cell>
        </row>
        <row r="3399">
          <cell r="C3399" t="str">
            <v>KIRKLARELİ</v>
          </cell>
          <cell r="D3399" t="str">
            <v>KIRKLARELİMERKEZ</v>
          </cell>
          <cell r="H3399" t="str">
            <v>Dağıtım-OG</v>
          </cell>
          <cell r="I3399" t="str">
            <v>Kısa</v>
          </cell>
          <cell r="J3399" t="str">
            <v>Şebeke İşletmecisi</v>
          </cell>
          <cell r="K3399" t="str">
            <v>Bildirimsiz</v>
          </cell>
          <cell r="O3399">
            <v>1</v>
          </cell>
          <cell r="P3399">
            <v>0</v>
          </cell>
          <cell r="Q3399">
            <v>6</v>
          </cell>
          <cell r="R3399">
            <v>166</v>
          </cell>
          <cell r="S3399">
            <v>37</v>
          </cell>
          <cell r="T3399">
            <v>1269</v>
          </cell>
          <cell r="U3399">
            <v>1.6499999980442226</v>
          </cell>
          <cell r="V3399">
            <v>0</v>
          </cell>
          <cell r="W3399">
            <v>9.8999999882653356</v>
          </cell>
          <cell r="X3399">
            <v>273.89999967534095</v>
          </cell>
          <cell r="Y3399">
            <v>61.049999927636236</v>
          </cell>
          <cell r="Z3399">
            <v>2093.8499975181185</v>
          </cell>
        </row>
        <row r="3400">
          <cell r="C3400" t="str">
            <v>TEKİRDAĞ</v>
          </cell>
          <cell r="D3400" t="str">
            <v>MARMARAEREĞLİSİ</v>
          </cell>
          <cell r="H3400" t="str">
            <v>Dağıtım-AG</v>
          </cell>
          <cell r="I3400" t="str">
            <v>Kısa</v>
          </cell>
          <cell r="J3400" t="str">
            <v>Şebeke işletmecisi</v>
          </cell>
          <cell r="K3400" t="str">
            <v>Bildirimsiz</v>
          </cell>
          <cell r="O3400">
            <v>0</v>
          </cell>
          <cell r="P3400">
            <v>0</v>
          </cell>
          <cell r="Q3400">
            <v>0</v>
          </cell>
          <cell r="R3400">
            <v>17</v>
          </cell>
          <cell r="S3400">
            <v>0</v>
          </cell>
          <cell r="T3400">
            <v>0</v>
          </cell>
          <cell r="U3400">
            <v>0</v>
          </cell>
          <cell r="V3400">
            <v>0</v>
          </cell>
          <cell r="W3400">
            <v>0</v>
          </cell>
          <cell r="X3400">
            <v>28.049999966751784</v>
          </cell>
          <cell r="Y3400">
            <v>0</v>
          </cell>
          <cell r="Z3400">
            <v>0</v>
          </cell>
        </row>
        <row r="3401">
          <cell r="C3401" t="str">
            <v>TEKİRDAĞ</v>
          </cell>
          <cell r="D3401" t="str">
            <v>ÇORLU</v>
          </cell>
          <cell r="H3401" t="str">
            <v>Dağıtım-OG</v>
          </cell>
          <cell r="I3401" t="str">
            <v>Kısa</v>
          </cell>
          <cell r="J3401" t="str">
            <v>Şebeke İşletmecisi</v>
          </cell>
          <cell r="K3401" t="str">
            <v>Bildirimsiz</v>
          </cell>
          <cell r="O3401">
            <v>17</v>
          </cell>
          <cell r="P3401">
            <v>1664</v>
          </cell>
          <cell r="Q3401">
            <v>0</v>
          </cell>
          <cell r="R3401">
            <v>0</v>
          </cell>
          <cell r="S3401">
            <v>2</v>
          </cell>
          <cell r="T3401">
            <v>5</v>
          </cell>
          <cell r="U3401">
            <v>28.049999966751784</v>
          </cell>
          <cell r="V3401">
            <v>2745.5999967455864</v>
          </cell>
          <cell r="W3401">
            <v>0</v>
          </cell>
          <cell r="X3401">
            <v>0</v>
          </cell>
          <cell r="Y3401">
            <v>3.2999999960884452</v>
          </cell>
          <cell r="Z3401">
            <v>8.249999990221113</v>
          </cell>
        </row>
        <row r="3402">
          <cell r="C3402" t="str">
            <v>TEKİRDAĞ</v>
          </cell>
          <cell r="D3402" t="str">
            <v>SÜLEYMANPAŞA</v>
          </cell>
          <cell r="H3402" t="str">
            <v>Dağıtım-AG</v>
          </cell>
          <cell r="I3402" t="str">
            <v>Kısa</v>
          </cell>
          <cell r="J3402" t="str">
            <v>Şebeke işletmecisi</v>
          </cell>
          <cell r="K3402" t="str">
            <v>Bildirimsiz</v>
          </cell>
          <cell r="O3402">
            <v>0</v>
          </cell>
          <cell r="P3402">
            <v>25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  <cell r="U3402">
            <v>0</v>
          </cell>
          <cell r="V3402">
            <v>40.833333448972553</v>
          </cell>
          <cell r="W3402">
            <v>0</v>
          </cell>
          <cell r="X3402">
            <v>0</v>
          </cell>
          <cell r="Y3402">
            <v>0</v>
          </cell>
          <cell r="Z3402">
            <v>0</v>
          </cell>
        </row>
        <row r="3403">
          <cell r="C3403" t="str">
            <v>TEKİRDAĞ</v>
          </cell>
          <cell r="D3403" t="str">
            <v>ERGENE</v>
          </cell>
          <cell r="H3403" t="str">
            <v>Dağıtım-AG</v>
          </cell>
          <cell r="I3403" t="str">
            <v>Kısa</v>
          </cell>
          <cell r="J3403" t="str">
            <v>Şebeke işletmecisi</v>
          </cell>
          <cell r="K3403" t="str">
            <v>Bildirimsiz</v>
          </cell>
          <cell r="O3403">
            <v>0</v>
          </cell>
          <cell r="P3403">
            <v>1</v>
          </cell>
          <cell r="Q3403">
            <v>0</v>
          </cell>
          <cell r="R3403">
            <v>0</v>
          </cell>
          <cell r="S3403">
            <v>0</v>
          </cell>
          <cell r="T3403">
            <v>83</v>
          </cell>
          <cell r="U3403">
            <v>0</v>
          </cell>
          <cell r="V3403">
            <v>1.5833333367481828</v>
          </cell>
          <cell r="W3403">
            <v>0</v>
          </cell>
          <cell r="X3403">
            <v>0</v>
          </cell>
          <cell r="Y3403">
            <v>0</v>
          </cell>
          <cell r="Z3403">
            <v>131.41666695009917</v>
          </cell>
        </row>
        <row r="3404">
          <cell r="C3404" t="str">
            <v>KIRKLARELİ</v>
          </cell>
          <cell r="D3404" t="str">
            <v>BABAESKİ</v>
          </cell>
          <cell r="H3404" t="str">
            <v>Dağıtım-AG</v>
          </cell>
          <cell r="I3404" t="str">
            <v>Kısa</v>
          </cell>
          <cell r="J3404" t="str">
            <v>Şebeke işletmecisi</v>
          </cell>
          <cell r="K3404" t="str">
            <v>Bildirimsiz</v>
          </cell>
          <cell r="O3404">
            <v>0</v>
          </cell>
          <cell r="P3404">
            <v>71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>
            <v>0</v>
          </cell>
          <cell r="V3404">
            <v>112.41666616522707</v>
          </cell>
          <cell r="W3404">
            <v>0</v>
          </cell>
          <cell r="X3404">
            <v>0</v>
          </cell>
          <cell r="Y3404">
            <v>0</v>
          </cell>
          <cell r="Z3404">
            <v>0</v>
          </cell>
        </row>
        <row r="3405">
          <cell r="C3405" t="str">
            <v>EDİRNE</v>
          </cell>
          <cell r="D3405" t="str">
            <v>UZUNKÖPRÜ</v>
          </cell>
          <cell r="H3405" t="str">
            <v>Dağıtım-AG</v>
          </cell>
          <cell r="I3405" t="str">
            <v>Kısa</v>
          </cell>
          <cell r="J3405" t="str">
            <v>Şebeke işletmecisi</v>
          </cell>
          <cell r="K3405" t="str">
            <v>Bildirimsiz</v>
          </cell>
          <cell r="O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T3405">
            <v>63</v>
          </cell>
          <cell r="U3405">
            <v>0</v>
          </cell>
          <cell r="V3405">
            <v>0</v>
          </cell>
          <cell r="W3405">
            <v>0</v>
          </cell>
          <cell r="X3405">
            <v>0</v>
          </cell>
          <cell r="Y3405">
            <v>0</v>
          </cell>
          <cell r="Z3405">
            <v>96.600000138860196</v>
          </cell>
        </row>
        <row r="3406">
          <cell r="C3406" t="str">
            <v>KIRKLARELİ</v>
          </cell>
          <cell r="D3406" t="str">
            <v>PEHLİVANKÖY</v>
          </cell>
          <cell r="H3406" t="str">
            <v>Dağıtım-OG</v>
          </cell>
          <cell r="I3406" t="str">
            <v>Kısa</v>
          </cell>
          <cell r="J3406" t="str">
            <v>Şebeke İşletmecisi</v>
          </cell>
          <cell r="K3406" t="str">
            <v>Bildirimsiz</v>
          </cell>
          <cell r="O3406">
            <v>0</v>
          </cell>
          <cell r="P3406">
            <v>0</v>
          </cell>
          <cell r="Q3406">
            <v>1</v>
          </cell>
          <cell r="R3406">
            <v>73</v>
          </cell>
          <cell r="S3406">
            <v>1</v>
          </cell>
          <cell r="T3406">
            <v>256</v>
          </cell>
          <cell r="U3406">
            <v>0</v>
          </cell>
          <cell r="V3406">
            <v>0</v>
          </cell>
          <cell r="W3406">
            <v>1.5333333355374634</v>
          </cell>
          <cell r="X3406">
            <v>111.93333349423483</v>
          </cell>
          <cell r="Y3406">
            <v>1.5333333355374634</v>
          </cell>
          <cell r="Z3406">
            <v>392.53333389759064</v>
          </cell>
        </row>
        <row r="3407">
          <cell r="C3407" t="str">
            <v>KIRKLARELİ</v>
          </cell>
          <cell r="D3407" t="str">
            <v>VİZE</v>
          </cell>
          <cell r="H3407" t="str">
            <v>Dağıtım-OG</v>
          </cell>
          <cell r="I3407" t="str">
            <v>Kısa</v>
          </cell>
          <cell r="J3407" t="str">
            <v>Şebeke işletmecisi</v>
          </cell>
          <cell r="K3407" t="str">
            <v>Bildirimsiz</v>
          </cell>
          <cell r="O3407">
            <v>0</v>
          </cell>
          <cell r="P3407">
            <v>0</v>
          </cell>
          <cell r="Q3407">
            <v>1</v>
          </cell>
          <cell r="R3407">
            <v>0</v>
          </cell>
          <cell r="S3407">
            <v>1</v>
          </cell>
          <cell r="T3407">
            <v>0</v>
          </cell>
          <cell r="U3407">
            <v>0</v>
          </cell>
          <cell r="V3407">
            <v>0</v>
          </cell>
          <cell r="W3407">
            <v>1.5333333355374634</v>
          </cell>
          <cell r="X3407">
            <v>0</v>
          </cell>
          <cell r="Y3407">
            <v>1.5333333355374634</v>
          </cell>
          <cell r="Z3407">
            <v>0</v>
          </cell>
        </row>
        <row r="3408">
          <cell r="C3408" t="str">
            <v>EDİRNE</v>
          </cell>
          <cell r="D3408" t="str">
            <v>EDİRNEMERKEZ</v>
          </cell>
          <cell r="H3408" t="str">
            <v>Dağıtım-OG</v>
          </cell>
          <cell r="I3408" t="str">
            <v>Kısa</v>
          </cell>
          <cell r="J3408" t="str">
            <v>Şebeke İşletmecisi</v>
          </cell>
          <cell r="K3408" t="str">
            <v>Bildirimsiz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102</v>
          </cell>
          <cell r="U3408">
            <v>0</v>
          </cell>
          <cell r="V3408">
            <v>0</v>
          </cell>
          <cell r="W3408">
            <v>0</v>
          </cell>
          <cell r="X3408">
            <v>0</v>
          </cell>
          <cell r="Y3408">
            <v>0</v>
          </cell>
          <cell r="Z3408">
            <v>153.00000049872324</v>
          </cell>
        </row>
        <row r="3409">
          <cell r="C3409" t="str">
            <v>EDİRNE</v>
          </cell>
          <cell r="D3409" t="str">
            <v>EDİRNEMERKEZ</v>
          </cell>
          <cell r="H3409" t="str">
            <v>Dağıtım-OG</v>
          </cell>
          <cell r="I3409" t="str">
            <v>Kısa</v>
          </cell>
          <cell r="J3409" t="str">
            <v>Şebeke İşletmecisi</v>
          </cell>
          <cell r="K3409" t="str">
            <v>Bildirimsiz</v>
          </cell>
          <cell r="O3409">
            <v>0</v>
          </cell>
          <cell r="P3409">
            <v>70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  <cell r="U3409">
            <v>0</v>
          </cell>
          <cell r="V3409">
            <v>102.66666646348312</v>
          </cell>
          <cell r="W3409">
            <v>0</v>
          </cell>
          <cell r="X3409">
            <v>0</v>
          </cell>
          <cell r="Y3409">
            <v>0</v>
          </cell>
          <cell r="Z3409">
            <v>0</v>
          </cell>
        </row>
        <row r="3410">
          <cell r="C3410" t="str">
            <v>KIRKLARELİ</v>
          </cell>
          <cell r="D3410" t="str">
            <v>KIRKLARELİMERKEZ</v>
          </cell>
          <cell r="H3410" t="str">
            <v>Dağıtım-OG</v>
          </cell>
          <cell r="I3410" t="str">
            <v>Kısa</v>
          </cell>
          <cell r="J3410" t="str">
            <v>Şebeke İşletmecisi</v>
          </cell>
          <cell r="K3410" t="str">
            <v>Bildirimsiz</v>
          </cell>
          <cell r="O3410">
            <v>2</v>
          </cell>
          <cell r="P3410">
            <v>0</v>
          </cell>
          <cell r="Q3410">
            <v>0</v>
          </cell>
          <cell r="R3410">
            <v>0</v>
          </cell>
          <cell r="S3410">
            <v>35</v>
          </cell>
          <cell r="T3410">
            <v>1035</v>
          </cell>
          <cell r="U3410">
            <v>2.8666666662320495</v>
          </cell>
          <cell r="V3410">
            <v>0</v>
          </cell>
          <cell r="W3410">
            <v>0</v>
          </cell>
          <cell r="X3410">
            <v>0</v>
          </cell>
          <cell r="Y3410">
            <v>50.166666659060866</v>
          </cell>
          <cell r="Z3410">
            <v>1483.4999997750856</v>
          </cell>
        </row>
        <row r="3411">
          <cell r="C3411" t="str">
            <v>EDİRNE</v>
          </cell>
          <cell r="D3411" t="str">
            <v>ENEZ</v>
          </cell>
          <cell r="H3411" t="str">
            <v>Dağıtım-OG</v>
          </cell>
          <cell r="I3411" t="str">
            <v>Kısa</v>
          </cell>
          <cell r="J3411" t="str">
            <v>Şebeke İşletmecisi</v>
          </cell>
          <cell r="K3411" t="str">
            <v>Bildirimsiz</v>
          </cell>
          <cell r="O3411">
            <v>0</v>
          </cell>
          <cell r="P3411">
            <v>0</v>
          </cell>
          <cell r="Q3411">
            <v>15</v>
          </cell>
          <cell r="R3411">
            <v>0</v>
          </cell>
          <cell r="S3411">
            <v>3</v>
          </cell>
          <cell r="T3411">
            <v>0</v>
          </cell>
          <cell r="U3411">
            <v>0</v>
          </cell>
          <cell r="V3411">
            <v>0</v>
          </cell>
          <cell r="W3411">
            <v>21.249999938299879</v>
          </cell>
          <cell r="X3411">
            <v>0</v>
          </cell>
          <cell r="Y3411">
            <v>4.2499999876599759</v>
          </cell>
          <cell r="Z3411">
            <v>0</v>
          </cell>
        </row>
        <row r="3412">
          <cell r="C3412" t="str">
            <v>KIRKLARELİ</v>
          </cell>
          <cell r="D3412" t="str">
            <v>LÜLEBURGAZ</v>
          </cell>
          <cell r="H3412" t="str">
            <v>Dağıtım-OG</v>
          </cell>
          <cell r="I3412" t="str">
            <v>Kısa</v>
          </cell>
          <cell r="J3412" t="str">
            <v>Şebeke İşletmecisi</v>
          </cell>
          <cell r="K3412" t="str">
            <v>Bildirimsiz</v>
          </cell>
          <cell r="O3412">
            <v>0</v>
          </cell>
          <cell r="P3412">
            <v>185</v>
          </cell>
          <cell r="Q3412">
            <v>0</v>
          </cell>
          <cell r="R3412">
            <v>0</v>
          </cell>
          <cell r="S3412">
            <v>0</v>
          </cell>
          <cell r="T3412">
            <v>0</v>
          </cell>
          <cell r="U3412">
            <v>0</v>
          </cell>
          <cell r="V3412">
            <v>262.08333257236518</v>
          </cell>
          <cell r="W3412">
            <v>0</v>
          </cell>
          <cell r="X3412">
            <v>0</v>
          </cell>
          <cell r="Y3412">
            <v>0</v>
          </cell>
          <cell r="Z3412">
            <v>0</v>
          </cell>
        </row>
        <row r="3413">
          <cell r="C3413" t="str">
            <v>EDİRNE</v>
          </cell>
          <cell r="D3413" t="str">
            <v>KEŞAN</v>
          </cell>
          <cell r="H3413" t="str">
            <v>Dağıtım-OG</v>
          </cell>
          <cell r="I3413" t="str">
            <v>Kısa</v>
          </cell>
          <cell r="J3413" t="str">
            <v>Şebeke işletmecisi</v>
          </cell>
          <cell r="K3413" t="str">
            <v>Bildirimsiz</v>
          </cell>
          <cell r="O3413">
            <v>0</v>
          </cell>
          <cell r="P3413">
            <v>4</v>
          </cell>
          <cell r="Q3413">
            <v>3</v>
          </cell>
          <cell r="R3413">
            <v>690</v>
          </cell>
          <cell r="S3413">
            <v>0</v>
          </cell>
          <cell r="T3413">
            <v>0</v>
          </cell>
          <cell r="U3413">
            <v>0</v>
          </cell>
          <cell r="V3413">
            <v>5.6000000098720193</v>
          </cell>
          <cell r="W3413">
            <v>4.2000000074040145</v>
          </cell>
          <cell r="X3413">
            <v>966.00000170292333</v>
          </cell>
          <cell r="Y3413">
            <v>0</v>
          </cell>
          <cell r="Z3413">
            <v>0</v>
          </cell>
        </row>
        <row r="3414">
          <cell r="C3414" t="str">
            <v>EDİRNE</v>
          </cell>
          <cell r="D3414" t="str">
            <v>ENEZ</v>
          </cell>
          <cell r="H3414" t="str">
            <v>Dağıtım-OG</v>
          </cell>
          <cell r="I3414" t="str">
            <v>Kısa</v>
          </cell>
          <cell r="J3414" t="str">
            <v>Şebeke İşletmecisi</v>
          </cell>
          <cell r="K3414" t="str">
            <v>Bildirimsiz</v>
          </cell>
          <cell r="O3414">
            <v>0</v>
          </cell>
          <cell r="P3414">
            <v>0</v>
          </cell>
          <cell r="Q3414">
            <v>44</v>
          </cell>
          <cell r="R3414">
            <v>0</v>
          </cell>
          <cell r="S3414">
            <v>6</v>
          </cell>
          <cell r="T3414">
            <v>2</v>
          </cell>
          <cell r="U3414">
            <v>0</v>
          </cell>
          <cell r="V3414">
            <v>0</v>
          </cell>
          <cell r="W3414">
            <v>61.600000108592212</v>
          </cell>
          <cell r="X3414">
            <v>0</v>
          </cell>
          <cell r="Y3414">
            <v>8.4000000148080289</v>
          </cell>
          <cell r="Z3414">
            <v>2.8000000049360096</v>
          </cell>
        </row>
        <row r="3415">
          <cell r="C3415" t="str">
            <v>KIRKLARELİ</v>
          </cell>
          <cell r="D3415" t="str">
            <v>LÜLEBURGAZ</v>
          </cell>
          <cell r="H3415" t="str">
            <v>Dağıtım-OG</v>
          </cell>
          <cell r="I3415" t="str">
            <v>Kısa</v>
          </cell>
          <cell r="J3415" t="str">
            <v>Şebeke İşletmecisi</v>
          </cell>
          <cell r="K3415" t="str">
            <v>Bildirimsiz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15</v>
          </cell>
          <cell r="T3415">
            <v>371</v>
          </cell>
          <cell r="U3415">
            <v>0</v>
          </cell>
          <cell r="V3415">
            <v>0</v>
          </cell>
          <cell r="W3415">
            <v>0</v>
          </cell>
          <cell r="X3415">
            <v>0</v>
          </cell>
          <cell r="Y3415">
            <v>20.500000077299774</v>
          </cell>
          <cell r="Z3415">
            <v>507.0333352452144</v>
          </cell>
        </row>
        <row r="3416">
          <cell r="C3416" t="str">
            <v>EDİRNE</v>
          </cell>
          <cell r="D3416" t="str">
            <v>UZUNKÖPRÜ</v>
          </cell>
          <cell r="H3416" t="str">
            <v>Dağıtım-OG</v>
          </cell>
          <cell r="I3416" t="str">
            <v>Kısa</v>
          </cell>
          <cell r="J3416" t="str">
            <v>Şebeke İşletmecisi</v>
          </cell>
          <cell r="K3416" t="str">
            <v>Bildirimsiz</v>
          </cell>
          <cell r="O3416">
            <v>4</v>
          </cell>
          <cell r="P3416">
            <v>1</v>
          </cell>
          <cell r="Q3416">
            <v>1</v>
          </cell>
          <cell r="R3416">
            <v>0</v>
          </cell>
          <cell r="S3416">
            <v>0</v>
          </cell>
          <cell r="T3416">
            <v>0</v>
          </cell>
          <cell r="U3416">
            <v>5.4666666453704238</v>
          </cell>
          <cell r="V3416">
            <v>1.3666666613426059</v>
          </cell>
          <cell r="W3416">
            <v>1.3666666613426059</v>
          </cell>
          <cell r="X3416">
            <v>0</v>
          </cell>
          <cell r="Y3416">
            <v>0</v>
          </cell>
          <cell r="Z3416">
            <v>0</v>
          </cell>
        </row>
        <row r="3417">
          <cell r="C3417" t="str">
            <v>KIRKLARELİ</v>
          </cell>
          <cell r="D3417" t="str">
            <v>LÜLEBURGAZ</v>
          </cell>
          <cell r="H3417" t="str">
            <v>Dağıtım-OG</v>
          </cell>
          <cell r="I3417" t="str">
            <v>Kısa</v>
          </cell>
          <cell r="J3417" t="str">
            <v>Şebeke İşletmecisi</v>
          </cell>
          <cell r="K3417" t="str">
            <v>Bildirimsiz</v>
          </cell>
          <cell r="O3417">
            <v>4</v>
          </cell>
          <cell r="P3417">
            <v>103</v>
          </cell>
          <cell r="Q3417">
            <v>0</v>
          </cell>
          <cell r="R3417">
            <v>0</v>
          </cell>
          <cell r="S3417">
            <v>72</v>
          </cell>
          <cell r="T3417">
            <v>1831</v>
          </cell>
          <cell r="U3417">
            <v>5.4666666453704238</v>
          </cell>
          <cell r="V3417">
            <v>140.76666611828841</v>
          </cell>
          <cell r="W3417">
            <v>0</v>
          </cell>
          <cell r="X3417">
            <v>0</v>
          </cell>
          <cell r="Y3417">
            <v>98.399999616667628</v>
          </cell>
          <cell r="Z3417">
            <v>2502.3666569183115</v>
          </cell>
        </row>
        <row r="3418">
          <cell r="C3418" t="str">
            <v>EDİRNE</v>
          </cell>
          <cell r="D3418" t="str">
            <v>ENEZ</v>
          </cell>
          <cell r="H3418" t="str">
            <v>Dağıtım-OG</v>
          </cell>
          <cell r="I3418" t="str">
            <v>Kısa</v>
          </cell>
          <cell r="J3418" t="str">
            <v>Şebeke İşletmecisi</v>
          </cell>
          <cell r="K3418" t="str">
            <v>Bildirimsiz</v>
          </cell>
          <cell r="O3418">
            <v>0</v>
          </cell>
          <cell r="P3418">
            <v>0</v>
          </cell>
          <cell r="Q3418">
            <v>42</v>
          </cell>
          <cell r="R3418">
            <v>0</v>
          </cell>
          <cell r="S3418">
            <v>6</v>
          </cell>
          <cell r="T3418">
            <v>2</v>
          </cell>
          <cell r="U3418">
            <v>0</v>
          </cell>
          <cell r="V3418">
            <v>0</v>
          </cell>
          <cell r="W3418">
            <v>56.00000032922253</v>
          </cell>
          <cell r="X3418">
            <v>0</v>
          </cell>
          <cell r="Y3418">
            <v>8.00000004703179</v>
          </cell>
          <cell r="Z3418">
            <v>2.66666668234393</v>
          </cell>
        </row>
        <row r="3419">
          <cell r="C3419" t="str">
            <v>KIRKLARELİ</v>
          </cell>
          <cell r="D3419" t="str">
            <v>KIRKLARELİMERKEZ</v>
          </cell>
          <cell r="H3419" t="str">
            <v>Dağıtım-OG</v>
          </cell>
          <cell r="I3419" t="str">
            <v>Kısa</v>
          </cell>
          <cell r="J3419" t="str">
            <v>Şebeke İşletmecisi</v>
          </cell>
          <cell r="K3419" t="str">
            <v>Bildirimsiz</v>
          </cell>
          <cell r="O3419">
            <v>0</v>
          </cell>
          <cell r="P3419">
            <v>437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  <cell r="U3419">
            <v>0</v>
          </cell>
          <cell r="V3419">
            <v>575.38333505624905</v>
          </cell>
          <cell r="W3419">
            <v>0</v>
          </cell>
          <cell r="X3419">
            <v>0</v>
          </cell>
          <cell r="Y3419">
            <v>0</v>
          </cell>
          <cell r="Z3419">
            <v>0</v>
          </cell>
        </row>
        <row r="3420">
          <cell r="C3420" t="str">
            <v>EDİRNE</v>
          </cell>
          <cell r="D3420" t="str">
            <v>UZUNKÖPRÜ</v>
          </cell>
          <cell r="H3420" t="str">
            <v>Dağıtım-OG</v>
          </cell>
          <cell r="I3420" t="str">
            <v>Kısa</v>
          </cell>
          <cell r="J3420" t="str">
            <v>Şebeke İşletmecisi</v>
          </cell>
          <cell r="K3420" t="str">
            <v>Bildirimsiz</v>
          </cell>
          <cell r="O3420">
            <v>4</v>
          </cell>
          <cell r="P3420">
            <v>0</v>
          </cell>
          <cell r="Q3420">
            <v>0</v>
          </cell>
          <cell r="R3420">
            <v>0</v>
          </cell>
          <cell r="S3420">
            <v>3</v>
          </cell>
          <cell r="T3420">
            <v>0</v>
          </cell>
          <cell r="U3420">
            <v>5.2666666824370623</v>
          </cell>
          <cell r="V3420">
            <v>0</v>
          </cell>
          <cell r="W3420">
            <v>0</v>
          </cell>
          <cell r="X3420">
            <v>0</v>
          </cell>
          <cell r="Y3420">
            <v>3.9500000118277967</v>
          </cell>
          <cell r="Z3420">
            <v>0</v>
          </cell>
        </row>
        <row r="3421">
          <cell r="C3421" t="str">
            <v>TEKİRDAĞ</v>
          </cell>
          <cell r="D3421" t="str">
            <v>SÜLEYMANPAŞA</v>
          </cell>
          <cell r="H3421" t="str">
            <v>Dağıtım-AG</v>
          </cell>
          <cell r="I3421" t="str">
            <v>Kısa</v>
          </cell>
          <cell r="J3421" t="str">
            <v>Şebeke işletmecisi</v>
          </cell>
          <cell r="K3421" t="str">
            <v>Bildirimsiz</v>
          </cell>
          <cell r="O3421">
            <v>0</v>
          </cell>
          <cell r="P3421">
            <v>15</v>
          </cell>
          <cell r="Q3421">
            <v>0</v>
          </cell>
          <cell r="R3421">
            <v>0</v>
          </cell>
          <cell r="S3421">
            <v>0</v>
          </cell>
          <cell r="T3421">
            <v>0</v>
          </cell>
          <cell r="U3421">
            <v>0</v>
          </cell>
          <cell r="V3421">
            <v>19.500000000698492</v>
          </cell>
          <cell r="W3421">
            <v>0</v>
          </cell>
          <cell r="X3421">
            <v>0</v>
          </cell>
          <cell r="Y3421">
            <v>0</v>
          </cell>
          <cell r="Z3421">
            <v>0</v>
          </cell>
        </row>
        <row r="3422">
          <cell r="C3422" t="str">
            <v>KIRKLARELİ</v>
          </cell>
          <cell r="D3422" t="str">
            <v>DEMİRKÖY</v>
          </cell>
          <cell r="H3422" t="str">
            <v>Dağıtım-OG</v>
          </cell>
          <cell r="I3422" t="str">
            <v>Kısa</v>
          </cell>
          <cell r="J3422" t="str">
            <v>Şebeke İşletmecisi</v>
          </cell>
          <cell r="K3422" t="str">
            <v>Bildirimsiz</v>
          </cell>
          <cell r="O3422">
            <v>0</v>
          </cell>
          <cell r="P3422">
            <v>0</v>
          </cell>
          <cell r="Q3422">
            <v>3</v>
          </cell>
          <cell r="R3422">
            <v>2</v>
          </cell>
          <cell r="S3422">
            <v>7</v>
          </cell>
          <cell r="T3422">
            <v>109</v>
          </cell>
          <cell r="U3422">
            <v>0</v>
          </cell>
          <cell r="V3422">
            <v>0</v>
          </cell>
          <cell r="W3422">
            <v>3.9000000001396984</v>
          </cell>
          <cell r="X3422">
            <v>2.6000000000931323</v>
          </cell>
          <cell r="Y3422">
            <v>9.1000000003259629</v>
          </cell>
          <cell r="Z3422">
            <v>141.70000000507571</v>
          </cell>
        </row>
        <row r="3423">
          <cell r="C3423" t="str">
            <v>EDİRNE</v>
          </cell>
          <cell r="D3423" t="str">
            <v>EDİRNEMERKEZ</v>
          </cell>
          <cell r="H3423" t="str">
            <v>Dağıtım-OG</v>
          </cell>
          <cell r="I3423" t="str">
            <v>Kısa</v>
          </cell>
          <cell r="J3423" t="str">
            <v>Şebeke İşletmecisi</v>
          </cell>
          <cell r="K3423" t="str">
            <v>Bildirimsiz</v>
          </cell>
          <cell r="O3423">
            <v>0</v>
          </cell>
          <cell r="P3423">
            <v>0</v>
          </cell>
          <cell r="Q3423">
            <v>0</v>
          </cell>
          <cell r="R3423">
            <v>1</v>
          </cell>
          <cell r="S3423">
            <v>9</v>
          </cell>
          <cell r="T3423">
            <v>405</v>
          </cell>
          <cell r="U3423">
            <v>0</v>
          </cell>
          <cell r="V3423">
            <v>0</v>
          </cell>
          <cell r="W3423">
            <v>0</v>
          </cell>
          <cell r="X3423">
            <v>1.3000000000465661</v>
          </cell>
          <cell r="Y3423">
            <v>11.700000000419095</v>
          </cell>
          <cell r="Z3423">
            <v>526.50000001885928</v>
          </cell>
        </row>
        <row r="3424">
          <cell r="C3424" t="str">
            <v>EDİRNE</v>
          </cell>
          <cell r="D3424" t="str">
            <v>HAVSA</v>
          </cell>
          <cell r="H3424" t="str">
            <v>Dağıtım-OG</v>
          </cell>
          <cell r="I3424" t="str">
            <v>Kısa</v>
          </cell>
          <cell r="J3424" t="str">
            <v>Şebeke İşletmecisi</v>
          </cell>
          <cell r="K3424" t="str">
            <v>Bildirimsiz</v>
          </cell>
          <cell r="O3424">
            <v>0</v>
          </cell>
          <cell r="P3424">
            <v>0</v>
          </cell>
          <cell r="Q3424">
            <v>5</v>
          </cell>
          <cell r="R3424">
            <v>0</v>
          </cell>
          <cell r="S3424">
            <v>3</v>
          </cell>
          <cell r="T3424">
            <v>0</v>
          </cell>
          <cell r="U3424">
            <v>0</v>
          </cell>
          <cell r="V3424">
            <v>0</v>
          </cell>
          <cell r="W3424">
            <v>6.4166666998062283</v>
          </cell>
          <cell r="X3424">
            <v>0</v>
          </cell>
          <cell r="Y3424">
            <v>3.850000019883737</v>
          </cell>
          <cell r="Z3424">
            <v>0</v>
          </cell>
        </row>
        <row r="3425">
          <cell r="C3425" t="str">
            <v>EDİRNE</v>
          </cell>
          <cell r="D3425" t="str">
            <v>İPSALA</v>
          </cell>
          <cell r="H3425" t="str">
            <v>Dağıtım-OG</v>
          </cell>
          <cell r="I3425" t="str">
            <v>Kısa</v>
          </cell>
          <cell r="J3425" t="str">
            <v>Şebeke işletmecisi</v>
          </cell>
          <cell r="K3425" t="str">
            <v>Bildirimsiz</v>
          </cell>
          <cell r="O3425">
            <v>0</v>
          </cell>
          <cell r="P3425">
            <v>0</v>
          </cell>
          <cell r="Q3425">
            <v>1</v>
          </cell>
          <cell r="R3425">
            <v>0</v>
          </cell>
          <cell r="S3425">
            <v>18</v>
          </cell>
          <cell r="T3425">
            <v>386</v>
          </cell>
          <cell r="U3425">
            <v>0</v>
          </cell>
          <cell r="V3425">
            <v>0</v>
          </cell>
          <cell r="W3425">
            <v>1.2833333399612457</v>
          </cell>
          <cell r="X3425">
            <v>0</v>
          </cell>
          <cell r="Y3425">
            <v>23.100000119302422</v>
          </cell>
          <cell r="Z3425">
            <v>495.36666922504082</v>
          </cell>
        </row>
        <row r="3426">
          <cell r="C3426" t="str">
            <v>TEKİRDAĞ</v>
          </cell>
          <cell r="D3426" t="str">
            <v>MARMARAEREĞLİSİ</v>
          </cell>
          <cell r="H3426" t="str">
            <v>Dağıtım-AG</v>
          </cell>
          <cell r="I3426" t="str">
            <v>Kısa</v>
          </cell>
          <cell r="J3426" t="str">
            <v>Şebeke işletmecisi</v>
          </cell>
          <cell r="K3426" t="str">
            <v>Bildirimsiz</v>
          </cell>
          <cell r="O3426">
            <v>0</v>
          </cell>
          <cell r="P3426">
            <v>15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  <cell r="U3426">
            <v>0</v>
          </cell>
          <cell r="V3426">
            <v>19.249999942258</v>
          </cell>
          <cell r="W3426">
            <v>0</v>
          </cell>
          <cell r="X3426">
            <v>0</v>
          </cell>
          <cell r="Y3426">
            <v>0</v>
          </cell>
          <cell r="Z3426">
            <v>0</v>
          </cell>
        </row>
        <row r="3427">
          <cell r="C3427" t="str">
            <v>KIRKLARELİ</v>
          </cell>
          <cell r="D3427" t="str">
            <v>LÜLEBURGAZ</v>
          </cell>
          <cell r="H3427" t="str">
            <v>Dağıtım-OG</v>
          </cell>
          <cell r="I3427" t="str">
            <v>Kısa</v>
          </cell>
          <cell r="J3427" t="str">
            <v>Şebeke İşletmecisi</v>
          </cell>
          <cell r="K3427" t="str">
            <v>Bildirimsiz</v>
          </cell>
          <cell r="O3427">
            <v>1</v>
          </cell>
          <cell r="P3427">
            <v>3</v>
          </cell>
          <cell r="Q3427">
            <v>0</v>
          </cell>
          <cell r="R3427">
            <v>0</v>
          </cell>
          <cell r="S3427">
            <v>0</v>
          </cell>
          <cell r="T3427">
            <v>2</v>
          </cell>
          <cell r="U3427">
            <v>1.2666666693985462</v>
          </cell>
          <cell r="V3427">
            <v>3.8000000081956387</v>
          </cell>
          <cell r="W3427">
            <v>0</v>
          </cell>
          <cell r="X3427">
            <v>0</v>
          </cell>
          <cell r="Y3427">
            <v>0</v>
          </cell>
          <cell r="Z3427">
            <v>2.5333333387970924</v>
          </cell>
        </row>
        <row r="3428">
          <cell r="C3428" t="str">
            <v>KIRKLARELİ</v>
          </cell>
          <cell r="D3428" t="str">
            <v>KIRKLARELİMERKEZ</v>
          </cell>
          <cell r="H3428" t="str">
            <v>Dağıtım-OG</v>
          </cell>
          <cell r="I3428" t="str">
            <v>Kısa</v>
          </cell>
          <cell r="J3428" t="str">
            <v>Şebeke İşletmecisi</v>
          </cell>
          <cell r="K3428" t="str">
            <v>Bildirimsiz</v>
          </cell>
          <cell r="O3428">
            <v>2</v>
          </cell>
          <cell r="P3428">
            <v>0</v>
          </cell>
          <cell r="Q3428">
            <v>0</v>
          </cell>
          <cell r="R3428">
            <v>0</v>
          </cell>
          <cell r="S3428">
            <v>35</v>
          </cell>
          <cell r="T3428">
            <v>1035</v>
          </cell>
          <cell r="U3428">
            <v>2.4333333363756537</v>
          </cell>
          <cell r="V3428">
            <v>0</v>
          </cell>
          <cell r="W3428">
            <v>0</v>
          </cell>
          <cell r="X3428">
            <v>0</v>
          </cell>
          <cell r="Y3428">
            <v>42.583333386573941</v>
          </cell>
          <cell r="Z3428">
            <v>1259.2500015744008</v>
          </cell>
        </row>
        <row r="3429">
          <cell r="C3429" t="str">
            <v>EDİRNE</v>
          </cell>
          <cell r="D3429" t="str">
            <v>HAVSA</v>
          </cell>
          <cell r="H3429" t="str">
            <v>Dağıtım-OG</v>
          </cell>
          <cell r="I3429" t="str">
            <v>Kısa</v>
          </cell>
          <cell r="J3429" t="str">
            <v>Şebeke İşletmecisi</v>
          </cell>
          <cell r="K3429" t="str">
            <v>Bildirimsiz</v>
          </cell>
          <cell r="O3429">
            <v>0</v>
          </cell>
          <cell r="P3429">
            <v>0</v>
          </cell>
          <cell r="Q3429">
            <v>4</v>
          </cell>
          <cell r="R3429">
            <v>4</v>
          </cell>
          <cell r="S3429">
            <v>1</v>
          </cell>
          <cell r="T3429">
            <v>0</v>
          </cell>
          <cell r="U3429">
            <v>0</v>
          </cell>
          <cell r="V3429">
            <v>0</v>
          </cell>
          <cell r="W3429">
            <v>4.7999999905005097</v>
          </cell>
          <cell r="X3429">
            <v>4.7999999905005097</v>
          </cell>
          <cell r="Y3429">
            <v>1.1999999976251274</v>
          </cell>
          <cell r="Z3429">
            <v>0</v>
          </cell>
        </row>
        <row r="3430">
          <cell r="C3430" t="str">
            <v>EDİRNE</v>
          </cell>
          <cell r="D3430" t="str">
            <v>MERİÇ</v>
          </cell>
          <cell r="H3430" t="str">
            <v>Dağıtım-AG</v>
          </cell>
          <cell r="I3430" t="str">
            <v>Kısa</v>
          </cell>
          <cell r="J3430" t="str">
            <v>Şebeke işletmecisi</v>
          </cell>
          <cell r="K3430" t="str">
            <v>Bildirimsiz</v>
          </cell>
          <cell r="O3430">
            <v>0</v>
          </cell>
          <cell r="P3430">
            <v>1</v>
          </cell>
          <cell r="Q3430">
            <v>0</v>
          </cell>
          <cell r="R3430">
            <v>0</v>
          </cell>
          <cell r="S3430">
            <v>0</v>
          </cell>
          <cell r="T3430">
            <v>20</v>
          </cell>
          <cell r="U3430">
            <v>0</v>
          </cell>
          <cell r="V3430">
            <v>1.1999999976251274</v>
          </cell>
          <cell r="W3430">
            <v>0</v>
          </cell>
          <cell r="X3430">
            <v>0</v>
          </cell>
          <cell r="Y3430">
            <v>0</v>
          </cell>
          <cell r="Z3430">
            <v>23.999999952502549</v>
          </cell>
        </row>
        <row r="3431">
          <cell r="C3431" t="str">
            <v>TEKİRDAĞ</v>
          </cell>
          <cell r="D3431" t="str">
            <v>MARMARAEREĞLİSİ</v>
          </cell>
          <cell r="H3431" t="str">
            <v>Dağıtım-AG</v>
          </cell>
          <cell r="I3431" t="str">
            <v>Kısa</v>
          </cell>
          <cell r="J3431" t="str">
            <v>Şebeke işletmecisi</v>
          </cell>
          <cell r="K3431" t="str">
            <v>Bildirimsiz</v>
          </cell>
          <cell r="O3431">
            <v>0</v>
          </cell>
          <cell r="P3431">
            <v>9</v>
          </cell>
          <cell r="Q3431">
            <v>0</v>
          </cell>
          <cell r="R3431">
            <v>50</v>
          </cell>
          <cell r="S3431">
            <v>0</v>
          </cell>
          <cell r="T3431">
            <v>0</v>
          </cell>
          <cell r="U3431">
            <v>0</v>
          </cell>
          <cell r="V3431">
            <v>10.649999943561852</v>
          </cell>
          <cell r="W3431">
            <v>0</v>
          </cell>
          <cell r="X3431">
            <v>59.1666663531214</v>
          </cell>
          <cell r="Y3431">
            <v>0</v>
          </cell>
          <cell r="Z3431">
            <v>0</v>
          </cell>
        </row>
        <row r="3432">
          <cell r="C3432" t="str">
            <v>KIRKLARELİ</v>
          </cell>
          <cell r="D3432" t="str">
            <v>KIRKLARELİMERKEZ</v>
          </cell>
          <cell r="H3432" t="str">
            <v>Dağıtım-OG</v>
          </cell>
          <cell r="I3432" t="str">
            <v>Kısa</v>
          </cell>
          <cell r="J3432" t="str">
            <v>Şebeke İşletmecisi</v>
          </cell>
          <cell r="K3432" t="str">
            <v>Bildirimsiz</v>
          </cell>
          <cell r="O3432">
            <v>2</v>
          </cell>
          <cell r="P3432">
            <v>0</v>
          </cell>
          <cell r="Q3432">
            <v>0</v>
          </cell>
          <cell r="R3432">
            <v>0</v>
          </cell>
          <cell r="S3432">
            <v>35</v>
          </cell>
          <cell r="T3432">
            <v>1035</v>
          </cell>
          <cell r="U3432">
            <v>2.333333333954215</v>
          </cell>
          <cell r="V3432">
            <v>0</v>
          </cell>
          <cell r="W3432">
            <v>0</v>
          </cell>
          <cell r="X3432">
            <v>0</v>
          </cell>
          <cell r="Y3432">
            <v>40.833333344198763</v>
          </cell>
          <cell r="Z3432">
            <v>1207.5000003213063</v>
          </cell>
        </row>
        <row r="3433">
          <cell r="C3433" t="str">
            <v>KIRKLARELİ</v>
          </cell>
          <cell r="D3433" t="str">
            <v>KIRKLARELİMERKEZ</v>
          </cell>
          <cell r="H3433" t="str">
            <v>Dağıtım-OG</v>
          </cell>
          <cell r="I3433" t="str">
            <v>Kısa</v>
          </cell>
          <cell r="J3433" t="str">
            <v>Şebeke İşletmecisi</v>
          </cell>
          <cell r="K3433" t="str">
            <v>Bildirimsiz</v>
          </cell>
          <cell r="O3433">
            <v>2</v>
          </cell>
          <cell r="P3433">
            <v>0</v>
          </cell>
          <cell r="Q3433">
            <v>0</v>
          </cell>
          <cell r="R3433">
            <v>0</v>
          </cell>
          <cell r="S3433">
            <v>35</v>
          </cell>
          <cell r="T3433">
            <v>1035</v>
          </cell>
          <cell r="U3433">
            <v>2.3000000137835741</v>
          </cell>
          <cell r="V3433">
            <v>0</v>
          </cell>
          <cell r="W3433">
            <v>0</v>
          </cell>
          <cell r="X3433">
            <v>0</v>
          </cell>
          <cell r="Y3433">
            <v>40.250000241212547</v>
          </cell>
          <cell r="Z3433">
            <v>1190.2500071329996</v>
          </cell>
        </row>
        <row r="3434">
          <cell r="C3434" t="str">
            <v>KIRKLARELİ</v>
          </cell>
          <cell r="D3434" t="str">
            <v>KIRKLARELİMERKEZ</v>
          </cell>
          <cell r="H3434" t="str">
            <v>Dağıtım-OG</v>
          </cell>
          <cell r="I3434" t="str">
            <v>Kısa</v>
          </cell>
          <cell r="J3434" t="str">
            <v>Şebeke İşletmecisi</v>
          </cell>
          <cell r="K3434" t="str">
            <v>Bildirimsiz</v>
          </cell>
          <cell r="O3434">
            <v>2</v>
          </cell>
          <cell r="P3434">
            <v>0</v>
          </cell>
          <cell r="Q3434">
            <v>0</v>
          </cell>
          <cell r="R3434">
            <v>0</v>
          </cell>
          <cell r="S3434">
            <v>35</v>
          </cell>
          <cell r="T3434">
            <v>1035</v>
          </cell>
          <cell r="U3434">
            <v>2.2999999928288162</v>
          </cell>
          <cell r="V3434">
            <v>0</v>
          </cell>
          <cell r="W3434">
            <v>0</v>
          </cell>
          <cell r="X3434">
            <v>0</v>
          </cell>
          <cell r="Y3434">
            <v>40.249999874504283</v>
          </cell>
          <cell r="Z3434">
            <v>1190.2499962889124</v>
          </cell>
        </row>
        <row r="3435">
          <cell r="C3435" t="str">
            <v>TEKİRDAĞ</v>
          </cell>
          <cell r="D3435" t="str">
            <v>MARMARAEREĞLİSİ</v>
          </cell>
          <cell r="H3435" t="str">
            <v>Dağıtım-AG</v>
          </cell>
          <cell r="I3435" t="str">
            <v>Kısa</v>
          </cell>
          <cell r="J3435" t="str">
            <v>Şebeke işletmecisi</v>
          </cell>
          <cell r="K3435" t="str">
            <v>Bildirimsiz</v>
          </cell>
          <cell r="O3435">
            <v>0</v>
          </cell>
          <cell r="P3435">
            <v>3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3.4499999892432243</v>
          </cell>
          <cell r="W3435">
            <v>0</v>
          </cell>
          <cell r="X3435">
            <v>0</v>
          </cell>
          <cell r="Y3435">
            <v>0</v>
          </cell>
          <cell r="Z3435">
            <v>0</v>
          </cell>
        </row>
        <row r="3436">
          <cell r="C3436" t="str">
            <v>EDİRNE</v>
          </cell>
          <cell r="D3436" t="str">
            <v>UZUNKÖPRÜ</v>
          </cell>
          <cell r="H3436" t="str">
            <v>Dağıtım-OG</v>
          </cell>
          <cell r="I3436" t="str">
            <v>Kısa</v>
          </cell>
          <cell r="J3436" t="str">
            <v>Şebeke İşletmecisi</v>
          </cell>
          <cell r="K3436" t="str">
            <v>Bildirimsiz</v>
          </cell>
          <cell r="O3436">
            <v>1</v>
          </cell>
          <cell r="P3436">
            <v>0</v>
          </cell>
          <cell r="Q3436">
            <v>0</v>
          </cell>
          <cell r="R3436">
            <v>0</v>
          </cell>
          <cell r="S3436">
            <v>7</v>
          </cell>
          <cell r="T3436">
            <v>0</v>
          </cell>
          <cell r="U3436">
            <v>1.1333333363290876</v>
          </cell>
          <cell r="V3436">
            <v>0</v>
          </cell>
          <cell r="W3436">
            <v>0</v>
          </cell>
          <cell r="X3436">
            <v>0</v>
          </cell>
          <cell r="Y3436">
            <v>7.9333333543036133</v>
          </cell>
          <cell r="Z3436">
            <v>0</v>
          </cell>
        </row>
        <row r="3437">
          <cell r="C3437" t="str">
            <v>KIRKLARELİ</v>
          </cell>
          <cell r="D3437" t="str">
            <v>LÜLEBURGAZ</v>
          </cell>
          <cell r="H3437" t="str">
            <v>Dağıtım-OG</v>
          </cell>
          <cell r="I3437" t="str">
            <v>Kısa</v>
          </cell>
          <cell r="J3437" t="str">
            <v>Şebeke İşletmecisi</v>
          </cell>
          <cell r="K3437" t="str">
            <v>Bildirimsiz</v>
          </cell>
          <cell r="O3437">
            <v>23</v>
          </cell>
          <cell r="P3437">
            <v>0</v>
          </cell>
          <cell r="Q3437">
            <v>0</v>
          </cell>
          <cell r="R3437">
            <v>0</v>
          </cell>
          <cell r="S3437">
            <v>4</v>
          </cell>
          <cell r="T3437">
            <v>0</v>
          </cell>
          <cell r="U3437">
            <v>26.066666735569015</v>
          </cell>
          <cell r="V3437">
            <v>0</v>
          </cell>
          <cell r="W3437">
            <v>0</v>
          </cell>
          <cell r="X3437">
            <v>0</v>
          </cell>
          <cell r="Y3437">
            <v>4.5333333453163505</v>
          </cell>
          <cell r="Z3437">
            <v>0</v>
          </cell>
        </row>
        <row r="3438">
          <cell r="C3438" t="str">
            <v>EDİRNE</v>
          </cell>
          <cell r="D3438" t="str">
            <v>MERİÇ</v>
          </cell>
          <cell r="H3438" t="str">
            <v>Dağıtım-OG</v>
          </cell>
          <cell r="I3438" t="str">
            <v>Kısa</v>
          </cell>
          <cell r="J3438" t="str">
            <v>Şebeke İşletmecisi</v>
          </cell>
          <cell r="K3438" t="str">
            <v>Bildirimsiz</v>
          </cell>
          <cell r="O3438">
            <v>0</v>
          </cell>
          <cell r="P3438">
            <v>0</v>
          </cell>
          <cell r="Q3438">
            <v>0</v>
          </cell>
          <cell r="R3438">
            <v>1</v>
          </cell>
          <cell r="S3438">
            <v>4</v>
          </cell>
          <cell r="T3438">
            <v>478</v>
          </cell>
          <cell r="U3438">
            <v>0</v>
          </cell>
          <cell r="V3438">
            <v>0</v>
          </cell>
          <cell r="W3438">
            <v>0</v>
          </cell>
          <cell r="X3438">
            <v>1.1166666657663882</v>
          </cell>
          <cell r="Y3438">
            <v>4.4666666630655527</v>
          </cell>
          <cell r="Z3438">
            <v>533.76666623633355</v>
          </cell>
        </row>
        <row r="3439">
          <cell r="C3439" t="str">
            <v>EDİRNE</v>
          </cell>
          <cell r="D3439" t="str">
            <v>UZUNKÖPRÜ</v>
          </cell>
          <cell r="H3439" t="str">
            <v>Dağıtım-OG</v>
          </cell>
          <cell r="I3439" t="str">
            <v>Kısa</v>
          </cell>
          <cell r="J3439" t="str">
            <v>Şebeke İşletmecisi</v>
          </cell>
          <cell r="K3439" t="str">
            <v>Bildirimsiz</v>
          </cell>
          <cell r="O3439">
            <v>5</v>
          </cell>
          <cell r="P3439">
            <v>8</v>
          </cell>
          <cell r="Q3439">
            <v>19</v>
          </cell>
          <cell r="R3439">
            <v>3859</v>
          </cell>
          <cell r="S3439">
            <v>59</v>
          </cell>
          <cell r="T3439">
            <v>2628</v>
          </cell>
          <cell r="U3439">
            <v>5.5833333288319409</v>
          </cell>
          <cell r="V3439">
            <v>8.9333333261311054</v>
          </cell>
          <cell r="W3439">
            <v>21.216666649561375</v>
          </cell>
          <cell r="X3439">
            <v>4309.216663192492</v>
          </cell>
          <cell r="Y3439">
            <v>65.883333280216902</v>
          </cell>
          <cell r="Z3439">
            <v>2934.5999976340681</v>
          </cell>
        </row>
        <row r="3440">
          <cell r="C3440" t="str">
            <v>EDİRNE</v>
          </cell>
          <cell r="D3440" t="str">
            <v>HAVSA</v>
          </cell>
          <cell r="H3440" t="str">
            <v>Dağıtım-OG</v>
          </cell>
          <cell r="I3440" t="str">
            <v>Kısa</v>
          </cell>
          <cell r="J3440" t="str">
            <v>Şebeke İşletmecisi</v>
          </cell>
          <cell r="K3440" t="str">
            <v>Bildirimsiz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2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>
            <v>2.2333333315327764</v>
          </cell>
          <cell r="Z3440">
            <v>0</v>
          </cell>
        </row>
        <row r="3441">
          <cell r="C3441" t="str">
            <v>EDİRNE</v>
          </cell>
          <cell r="D3441" t="str">
            <v>EDİRNEMERKEZ</v>
          </cell>
          <cell r="H3441" t="str">
            <v>Dağıtım-OG</v>
          </cell>
          <cell r="I3441" t="str">
            <v>Kısa</v>
          </cell>
          <cell r="J3441" t="str">
            <v>Şebeke İşletmecisi</v>
          </cell>
          <cell r="K3441" t="str">
            <v>Bildirimsiz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13</v>
          </cell>
          <cell r="T3441">
            <v>264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>
            <v>14.516666654963046</v>
          </cell>
          <cell r="Z3441">
            <v>294.79999976232648</v>
          </cell>
        </row>
        <row r="3442">
          <cell r="C3442" t="str">
            <v>KIRKLARELİ</v>
          </cell>
          <cell r="D3442" t="str">
            <v>KIRKLARELİMERKEZ</v>
          </cell>
          <cell r="H3442" t="str">
            <v>Dağıtım-OG</v>
          </cell>
          <cell r="I3442" t="str">
            <v>Kısa</v>
          </cell>
          <cell r="J3442" t="str">
            <v>Şebeke İşletmecisi</v>
          </cell>
          <cell r="K3442" t="str">
            <v>Bildirimsiz</v>
          </cell>
          <cell r="O3442">
            <v>0</v>
          </cell>
          <cell r="P3442">
            <v>0</v>
          </cell>
          <cell r="Q3442">
            <v>5</v>
          </cell>
          <cell r="R3442">
            <v>0</v>
          </cell>
          <cell r="S3442">
            <v>2</v>
          </cell>
          <cell r="T3442">
            <v>138</v>
          </cell>
          <cell r="U3442">
            <v>0</v>
          </cell>
          <cell r="V3442">
            <v>0</v>
          </cell>
          <cell r="W3442">
            <v>5.4999999760184437</v>
          </cell>
          <cell r="X3442">
            <v>0</v>
          </cell>
          <cell r="Y3442">
            <v>2.1999999904073775</v>
          </cell>
          <cell r="Z3442">
            <v>151.79999933810905</v>
          </cell>
        </row>
        <row r="3443">
          <cell r="C3443" t="str">
            <v>EDİRNE</v>
          </cell>
          <cell r="D3443" t="str">
            <v>MERİÇ</v>
          </cell>
          <cell r="H3443" t="str">
            <v>Dağıtım-OG</v>
          </cell>
          <cell r="I3443" t="str">
            <v>Kısa</v>
          </cell>
          <cell r="J3443" t="str">
            <v>Şebeke İşletmecisi</v>
          </cell>
          <cell r="K3443" t="str">
            <v>Bildirimsiz</v>
          </cell>
          <cell r="O3443">
            <v>0</v>
          </cell>
          <cell r="P3443">
            <v>3</v>
          </cell>
          <cell r="Q3443">
            <v>4</v>
          </cell>
          <cell r="R3443">
            <v>2254</v>
          </cell>
          <cell r="S3443">
            <v>27</v>
          </cell>
          <cell r="T3443">
            <v>1199</v>
          </cell>
          <cell r="U3443">
            <v>0</v>
          </cell>
          <cell r="V3443">
            <v>3.2000000250991434</v>
          </cell>
          <cell r="W3443">
            <v>4.2666667001321912</v>
          </cell>
          <cell r="X3443">
            <v>2404.2666855244897</v>
          </cell>
          <cell r="Y3443">
            <v>28.80000022589229</v>
          </cell>
          <cell r="Z3443">
            <v>1278.9333433646243</v>
          </cell>
        </row>
        <row r="3444">
          <cell r="C3444" t="str">
            <v>TEKİRDAĞ</v>
          </cell>
          <cell r="D3444" t="str">
            <v>MARMARAEREĞLİSİ</v>
          </cell>
          <cell r="H3444" t="str">
            <v>Dağıtım-AG</v>
          </cell>
          <cell r="I3444" t="str">
            <v>Kısa</v>
          </cell>
          <cell r="J3444" t="str">
            <v>Şebeke işletmecisi</v>
          </cell>
          <cell r="K3444" t="str">
            <v>Bildirimsiz</v>
          </cell>
          <cell r="O3444">
            <v>0</v>
          </cell>
          <cell r="P3444">
            <v>0</v>
          </cell>
          <cell r="Q3444">
            <v>0</v>
          </cell>
          <cell r="R3444">
            <v>85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89.25000037997961</v>
          </cell>
          <cell r="Y3444">
            <v>0</v>
          </cell>
          <cell r="Z3444">
            <v>0</v>
          </cell>
        </row>
        <row r="3445">
          <cell r="C3445" t="str">
            <v>EDİRNE</v>
          </cell>
          <cell r="D3445" t="str">
            <v>MERİÇ</v>
          </cell>
          <cell r="H3445" t="str">
            <v>Dağıtım-OG</v>
          </cell>
          <cell r="I3445" t="str">
            <v>Kısa</v>
          </cell>
          <cell r="J3445" t="str">
            <v>Şebeke İşletmecisi</v>
          </cell>
          <cell r="K3445" t="str">
            <v>Bildirimsiz</v>
          </cell>
          <cell r="O3445">
            <v>0</v>
          </cell>
          <cell r="P3445">
            <v>3</v>
          </cell>
          <cell r="Q3445">
            <v>4</v>
          </cell>
          <cell r="R3445">
            <v>2254</v>
          </cell>
          <cell r="S3445">
            <v>27</v>
          </cell>
          <cell r="T3445">
            <v>1199</v>
          </cell>
          <cell r="U3445">
            <v>0</v>
          </cell>
          <cell r="V3445">
            <v>3.1499999819789082</v>
          </cell>
          <cell r="W3445">
            <v>4.1999999759718776</v>
          </cell>
          <cell r="X3445">
            <v>2366.699986460153</v>
          </cell>
          <cell r="Y3445">
            <v>28.349999837810174</v>
          </cell>
          <cell r="Z3445">
            <v>1258.9499927975703</v>
          </cell>
        </row>
        <row r="3446">
          <cell r="C3446" t="str">
            <v>KIRKLARELİ</v>
          </cell>
          <cell r="D3446" t="str">
            <v>LÜLEBURGAZ</v>
          </cell>
          <cell r="H3446" t="str">
            <v>Dağıtım-OG</v>
          </cell>
          <cell r="I3446" t="str">
            <v>Kısa</v>
          </cell>
          <cell r="J3446" t="str">
            <v>Şebeke İşletmecisi</v>
          </cell>
          <cell r="K3446" t="str">
            <v>Bildirimsiz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7</v>
          </cell>
          <cell r="T3446">
            <v>676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>
            <v>7.2333333373535424</v>
          </cell>
          <cell r="Z3446">
            <v>698.53333372157067</v>
          </cell>
        </row>
        <row r="3447">
          <cell r="C3447" t="str">
            <v>KIRKLARELİ</v>
          </cell>
          <cell r="D3447" t="str">
            <v>KIRKLARELİMERKEZ</v>
          </cell>
          <cell r="H3447" t="str">
            <v>Dağıtım-OG</v>
          </cell>
          <cell r="I3447" t="str">
            <v>Kısa</v>
          </cell>
          <cell r="J3447" t="str">
            <v>Şebeke İşletmecisi</v>
          </cell>
          <cell r="K3447" t="str">
            <v>Bildirimsiz</v>
          </cell>
          <cell r="O3447">
            <v>2</v>
          </cell>
          <cell r="P3447">
            <v>0</v>
          </cell>
          <cell r="Q3447">
            <v>0</v>
          </cell>
          <cell r="R3447">
            <v>0</v>
          </cell>
          <cell r="S3447">
            <v>35</v>
          </cell>
          <cell r="T3447">
            <v>1035</v>
          </cell>
          <cell r="U3447">
            <v>2.0666666678152978</v>
          </cell>
          <cell r="V3447">
            <v>0</v>
          </cell>
          <cell r="W3447">
            <v>0</v>
          </cell>
          <cell r="X3447">
            <v>0</v>
          </cell>
          <cell r="Y3447">
            <v>36.166666686767712</v>
          </cell>
          <cell r="Z3447">
            <v>1069.5000005944166</v>
          </cell>
        </row>
        <row r="3448">
          <cell r="C3448" t="str">
            <v>TEKİRDAĞ</v>
          </cell>
          <cell r="D3448" t="str">
            <v>ÇORLU</v>
          </cell>
          <cell r="H3448" t="str">
            <v>Dağıtım-OG</v>
          </cell>
          <cell r="I3448" t="str">
            <v>Kısa</v>
          </cell>
          <cell r="J3448" t="str">
            <v>Şebeke İşletmecisi</v>
          </cell>
          <cell r="K3448" t="str">
            <v>Bildirimsiz</v>
          </cell>
          <cell r="O3448">
            <v>1</v>
          </cell>
          <cell r="P3448">
            <v>17</v>
          </cell>
          <cell r="Q3448">
            <v>0</v>
          </cell>
          <cell r="R3448">
            <v>0</v>
          </cell>
          <cell r="S3448">
            <v>1</v>
          </cell>
          <cell r="T3448">
            <v>2</v>
          </cell>
          <cell r="U3448">
            <v>1.0166666633449495</v>
          </cell>
          <cell r="V3448">
            <v>17.283333276864141</v>
          </cell>
          <cell r="W3448">
            <v>0</v>
          </cell>
          <cell r="X3448">
            <v>0</v>
          </cell>
          <cell r="Y3448">
            <v>1.0166666633449495</v>
          </cell>
          <cell r="Z3448">
            <v>2.033333326689899</v>
          </cell>
        </row>
        <row r="3449">
          <cell r="C3449" t="str">
            <v>KIRKLARELİ</v>
          </cell>
          <cell r="D3449" t="str">
            <v>KIRKLARELİMERKEZ</v>
          </cell>
          <cell r="H3449" t="str">
            <v>Dağıtım-OG</v>
          </cell>
          <cell r="I3449" t="str">
            <v>Kısa</v>
          </cell>
          <cell r="J3449" t="str">
            <v>Şebeke İşletmecisi</v>
          </cell>
          <cell r="K3449" t="str">
            <v>Bildirimsiz</v>
          </cell>
          <cell r="O3449">
            <v>2</v>
          </cell>
          <cell r="P3449">
            <v>0</v>
          </cell>
          <cell r="Q3449">
            <v>0</v>
          </cell>
          <cell r="R3449">
            <v>0</v>
          </cell>
          <cell r="S3449">
            <v>35</v>
          </cell>
          <cell r="T3449">
            <v>1035</v>
          </cell>
          <cell r="U3449">
            <v>2.033333326689899</v>
          </cell>
          <cell r="V3449">
            <v>0</v>
          </cell>
          <cell r="W3449">
            <v>0</v>
          </cell>
          <cell r="X3449">
            <v>0</v>
          </cell>
          <cell r="Y3449">
            <v>35.583333217073232</v>
          </cell>
          <cell r="Z3449">
            <v>1052.2499965620227</v>
          </cell>
        </row>
        <row r="3450">
          <cell r="C3450" t="str">
            <v>EDİRNE</v>
          </cell>
          <cell r="D3450" t="str">
            <v>UZUNKÖPRÜ</v>
          </cell>
          <cell r="H3450" t="str">
            <v>Dağıtım-OG</v>
          </cell>
          <cell r="I3450" t="str">
            <v>Kısa</v>
          </cell>
          <cell r="J3450" t="str">
            <v>Şebeke İşletmecisi</v>
          </cell>
          <cell r="K3450" t="str">
            <v>Bildirimsiz</v>
          </cell>
          <cell r="O3450">
            <v>5</v>
          </cell>
          <cell r="P3450">
            <v>0</v>
          </cell>
          <cell r="Q3450">
            <v>0</v>
          </cell>
          <cell r="R3450">
            <v>10</v>
          </cell>
          <cell r="S3450">
            <v>27</v>
          </cell>
          <cell r="T3450">
            <v>971</v>
          </cell>
          <cell r="U3450">
            <v>5.0000000162981451</v>
          </cell>
          <cell r="V3450">
            <v>0</v>
          </cell>
          <cell r="W3450">
            <v>0</v>
          </cell>
          <cell r="X3450">
            <v>10.00000003259629</v>
          </cell>
          <cell r="Y3450">
            <v>27.000000088009983</v>
          </cell>
          <cell r="Z3450">
            <v>971.00000316509977</v>
          </cell>
        </row>
        <row r="3451">
          <cell r="C3451" t="str">
            <v>KIRKLARELİ</v>
          </cell>
          <cell r="D3451" t="str">
            <v>KIRKLARELİMERKEZ</v>
          </cell>
          <cell r="H3451" t="str">
            <v>Dağıtım-OG</v>
          </cell>
          <cell r="I3451" t="str">
            <v>Kısa</v>
          </cell>
          <cell r="J3451" t="str">
            <v>Şebeke İşletmecisi</v>
          </cell>
          <cell r="K3451" t="str">
            <v>Bildirimsiz</v>
          </cell>
          <cell r="O3451">
            <v>22</v>
          </cell>
          <cell r="P3451">
            <v>1078</v>
          </cell>
          <cell r="Q3451">
            <v>4</v>
          </cell>
          <cell r="R3451">
            <v>879</v>
          </cell>
          <cell r="S3451">
            <v>15</v>
          </cell>
          <cell r="T3451">
            <v>2</v>
          </cell>
          <cell r="U3451">
            <v>22.000000071711838</v>
          </cell>
          <cell r="V3451">
            <v>1078.0000035138801</v>
          </cell>
          <cell r="W3451">
            <v>4.000000013038516</v>
          </cell>
          <cell r="X3451">
            <v>879.0000028652139</v>
          </cell>
          <cell r="Y3451">
            <v>15.000000048894435</v>
          </cell>
          <cell r="Z3451">
            <v>2.000000006519258</v>
          </cell>
        </row>
        <row r="3452">
          <cell r="C3452" t="str">
            <v>KIRKLARELİ</v>
          </cell>
          <cell r="D3452" t="str">
            <v>KIRKLARELİMERKEZ</v>
          </cell>
          <cell r="H3452" t="str">
            <v>Dağıtım-OG</v>
          </cell>
          <cell r="I3452" t="str">
            <v>Kısa</v>
          </cell>
          <cell r="J3452" t="str">
            <v>Şebeke İşletmecisi</v>
          </cell>
          <cell r="K3452" t="str">
            <v>Bildirimsiz</v>
          </cell>
          <cell r="O3452">
            <v>2</v>
          </cell>
          <cell r="P3452">
            <v>0</v>
          </cell>
          <cell r="Q3452">
            <v>0</v>
          </cell>
          <cell r="R3452">
            <v>0</v>
          </cell>
          <cell r="S3452">
            <v>35</v>
          </cell>
          <cell r="T3452">
            <v>1035</v>
          </cell>
          <cell r="U3452">
            <v>2.000000006519258</v>
          </cell>
          <cell r="V3452">
            <v>0</v>
          </cell>
          <cell r="W3452">
            <v>0</v>
          </cell>
          <cell r="X3452">
            <v>0</v>
          </cell>
          <cell r="Y3452">
            <v>35.000000114087015</v>
          </cell>
          <cell r="Z3452">
            <v>1035.000003373716</v>
          </cell>
        </row>
        <row r="3453">
          <cell r="C3453" t="str">
            <v>TEKİRDAĞ</v>
          </cell>
          <cell r="D3453" t="str">
            <v>ÇORLU</v>
          </cell>
          <cell r="H3453" t="str">
            <v>Dağıtım-OG</v>
          </cell>
          <cell r="I3453" t="str">
            <v>Kısa</v>
          </cell>
          <cell r="J3453" t="str">
            <v>Şebeke İşletmecisi</v>
          </cell>
          <cell r="K3453" t="str">
            <v>Bildirimsiz</v>
          </cell>
          <cell r="O3453">
            <v>0</v>
          </cell>
          <cell r="P3453">
            <v>414</v>
          </cell>
          <cell r="Q3453">
            <v>0</v>
          </cell>
          <cell r="R3453">
            <v>0</v>
          </cell>
          <cell r="S3453">
            <v>15</v>
          </cell>
          <cell r="T3453">
            <v>329</v>
          </cell>
          <cell r="U3453">
            <v>0</v>
          </cell>
          <cell r="V3453">
            <v>414.00000134948641</v>
          </cell>
          <cell r="W3453">
            <v>0</v>
          </cell>
          <cell r="X3453">
            <v>0</v>
          </cell>
          <cell r="Y3453">
            <v>15.000000048894435</v>
          </cell>
          <cell r="Z3453">
            <v>329.00000107241794</v>
          </cell>
        </row>
        <row r="3454">
          <cell r="C3454" t="str">
            <v>EDİRNE</v>
          </cell>
          <cell r="D3454" t="str">
            <v>UZUNKÖPRÜ</v>
          </cell>
          <cell r="H3454" t="str">
            <v>Dağıtım-OG</v>
          </cell>
          <cell r="I3454" t="str">
            <v>Kısa</v>
          </cell>
          <cell r="J3454" t="str">
            <v>Şebeke İşletmecisi</v>
          </cell>
          <cell r="K3454" t="str">
            <v>Bildirimsiz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2</v>
          </cell>
          <cell r="T3454">
            <v>462</v>
          </cell>
          <cell r="U3454">
            <v>0</v>
          </cell>
          <cell r="V3454">
            <v>0</v>
          </cell>
          <cell r="W3454">
            <v>0</v>
          </cell>
          <cell r="X3454">
            <v>0</v>
          </cell>
          <cell r="Y3454">
            <v>2.000000006519258</v>
          </cell>
          <cell r="Z3454">
            <v>462.0000015059486</v>
          </cell>
        </row>
        <row r="3455">
          <cell r="C3455" t="str">
            <v>KIRKLARELİ</v>
          </cell>
          <cell r="D3455" t="str">
            <v>DEMİRKÖY</v>
          </cell>
          <cell r="H3455" t="str">
            <v>Dağıtım-OG</v>
          </cell>
          <cell r="I3455" t="str">
            <v>Kısa</v>
          </cell>
          <cell r="J3455" t="str">
            <v>Şebeke İşletmecisi</v>
          </cell>
          <cell r="K3455" t="str">
            <v>Bildirimsiz</v>
          </cell>
          <cell r="O3455">
            <v>0</v>
          </cell>
          <cell r="P3455">
            <v>0</v>
          </cell>
          <cell r="Q3455">
            <v>3</v>
          </cell>
          <cell r="R3455">
            <v>2</v>
          </cell>
          <cell r="S3455">
            <v>7</v>
          </cell>
          <cell r="T3455">
            <v>109</v>
          </cell>
          <cell r="U3455">
            <v>0</v>
          </cell>
          <cell r="V3455">
            <v>0</v>
          </cell>
          <cell r="W3455">
            <v>3.000000009778887</v>
          </cell>
          <cell r="X3455">
            <v>2.000000006519258</v>
          </cell>
          <cell r="Y3455">
            <v>7.0000000228174031</v>
          </cell>
          <cell r="Z3455">
            <v>109.00000035529956</v>
          </cell>
        </row>
        <row r="3456">
          <cell r="C3456" t="str">
            <v>KIRKLARELİ</v>
          </cell>
          <cell r="D3456" t="str">
            <v>PINARHİSAR</v>
          </cell>
          <cell r="H3456" t="str">
            <v>Dağıtım-OG</v>
          </cell>
          <cell r="I3456" t="str">
            <v>Kısa</v>
          </cell>
          <cell r="J3456" t="str">
            <v>Şebeke İşletmecisi</v>
          </cell>
          <cell r="K3456" t="str">
            <v>Bildirimsiz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12</v>
          </cell>
          <cell r="T3456">
            <v>289</v>
          </cell>
          <cell r="U3456">
            <v>0</v>
          </cell>
          <cell r="V3456">
            <v>0</v>
          </cell>
          <cell r="W3456">
            <v>0</v>
          </cell>
          <cell r="X3456">
            <v>0</v>
          </cell>
          <cell r="Y3456">
            <v>12.000000039115548</v>
          </cell>
          <cell r="Z3456">
            <v>289.00000094203278</v>
          </cell>
        </row>
        <row r="3457">
          <cell r="C3457" t="str">
            <v>KIRKLARELİ</v>
          </cell>
          <cell r="D3457" t="str">
            <v>DEMİRKÖY</v>
          </cell>
          <cell r="H3457" t="str">
            <v>Dağıtım-OG</v>
          </cell>
          <cell r="I3457" t="str">
            <v>Kısa</v>
          </cell>
          <cell r="J3457" t="str">
            <v>Şebeke İşletmecisi</v>
          </cell>
          <cell r="K3457" t="str">
            <v>Bildirimsiz</v>
          </cell>
          <cell r="O3457">
            <v>0</v>
          </cell>
          <cell r="P3457">
            <v>0</v>
          </cell>
          <cell r="Q3457">
            <v>3</v>
          </cell>
          <cell r="R3457">
            <v>2</v>
          </cell>
          <cell r="S3457">
            <v>7</v>
          </cell>
          <cell r="T3457">
            <v>109</v>
          </cell>
          <cell r="U3457">
            <v>0</v>
          </cell>
          <cell r="V3457">
            <v>0</v>
          </cell>
          <cell r="W3457">
            <v>3.000000009778887</v>
          </cell>
          <cell r="X3457">
            <v>2.000000006519258</v>
          </cell>
          <cell r="Y3457">
            <v>7.0000000228174031</v>
          </cell>
          <cell r="Z3457">
            <v>109.00000035529956</v>
          </cell>
        </row>
        <row r="3458">
          <cell r="C3458" t="str">
            <v>KIRKLARELİ</v>
          </cell>
          <cell r="D3458" t="str">
            <v>KIRKLARELİMERKEZ</v>
          </cell>
          <cell r="H3458" t="str">
            <v>Dağıtım-OG</v>
          </cell>
          <cell r="I3458" t="str">
            <v>Kısa</v>
          </cell>
          <cell r="J3458" t="str">
            <v>Şebeke İşletmecisi</v>
          </cell>
          <cell r="K3458" t="str">
            <v>Bildirimsiz</v>
          </cell>
          <cell r="O3458">
            <v>2</v>
          </cell>
          <cell r="P3458">
            <v>0</v>
          </cell>
          <cell r="Q3458">
            <v>0</v>
          </cell>
          <cell r="R3458">
            <v>0</v>
          </cell>
          <cell r="S3458">
            <v>35</v>
          </cell>
          <cell r="T3458">
            <v>1035</v>
          </cell>
          <cell r="U3458">
            <v>2.000000006519258</v>
          </cell>
          <cell r="V3458">
            <v>0</v>
          </cell>
          <cell r="W3458">
            <v>0</v>
          </cell>
          <cell r="X3458">
            <v>0</v>
          </cell>
          <cell r="Y3458">
            <v>35.000000114087015</v>
          </cell>
          <cell r="Z3458">
            <v>1035.000003373716</v>
          </cell>
        </row>
        <row r="3459">
          <cell r="C3459" t="str">
            <v>EDİRNE</v>
          </cell>
          <cell r="D3459" t="str">
            <v>UZUNKÖPRÜ</v>
          </cell>
          <cell r="H3459" t="str">
            <v>Dağıtım-OG</v>
          </cell>
          <cell r="I3459" t="str">
            <v>Kısa</v>
          </cell>
          <cell r="J3459" t="str">
            <v>Şebeke İşletmecisi</v>
          </cell>
          <cell r="K3459" t="str">
            <v>Bildirimsiz</v>
          </cell>
          <cell r="O3459">
            <v>2</v>
          </cell>
          <cell r="P3459">
            <v>10</v>
          </cell>
          <cell r="Q3459">
            <v>0</v>
          </cell>
          <cell r="R3459">
            <v>0</v>
          </cell>
          <cell r="S3459">
            <v>5</v>
          </cell>
          <cell r="T3459">
            <v>1002</v>
          </cell>
          <cell r="U3459">
            <v>1.9999999855645001</v>
          </cell>
          <cell r="V3459">
            <v>9.9999999278225005</v>
          </cell>
          <cell r="W3459">
            <v>0</v>
          </cell>
          <cell r="X3459">
            <v>0</v>
          </cell>
          <cell r="Y3459">
            <v>4.9999999639112502</v>
          </cell>
          <cell r="Z3459">
            <v>1001.9999927678145</v>
          </cell>
        </row>
        <row r="3460">
          <cell r="C3460" t="str">
            <v>EDİRNE</v>
          </cell>
          <cell r="D3460" t="str">
            <v>UZUNKÖPRÜ</v>
          </cell>
          <cell r="H3460" t="str">
            <v>Dağıtım-OG</v>
          </cell>
          <cell r="I3460" t="str">
            <v>Kısa</v>
          </cell>
          <cell r="J3460" t="str">
            <v>Şebeke İşletmecisi</v>
          </cell>
          <cell r="K3460" t="str">
            <v>Bildirimsiz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2</v>
          </cell>
          <cell r="T3460">
            <v>462</v>
          </cell>
          <cell r="U3460">
            <v>0</v>
          </cell>
          <cell r="V3460">
            <v>0</v>
          </cell>
          <cell r="W3460">
            <v>0</v>
          </cell>
          <cell r="X3460">
            <v>0</v>
          </cell>
          <cell r="Y3460">
            <v>1.9999999855645001</v>
          </cell>
          <cell r="Z3460">
            <v>461.99999666539952</v>
          </cell>
        </row>
        <row r="3461">
          <cell r="C3461" t="str">
            <v>EDİRNE</v>
          </cell>
          <cell r="D3461" t="str">
            <v>UZUNKÖPRÜ</v>
          </cell>
          <cell r="H3461" t="str">
            <v>Dağıtım-OG</v>
          </cell>
          <cell r="I3461" t="str">
            <v>Kısa</v>
          </cell>
          <cell r="J3461" t="str">
            <v>Şebeke İşletmecisi</v>
          </cell>
          <cell r="K3461" t="str">
            <v>Bildirimsiz</v>
          </cell>
          <cell r="O3461">
            <v>9</v>
          </cell>
          <cell r="P3461">
            <v>0</v>
          </cell>
          <cell r="Q3461">
            <v>0</v>
          </cell>
          <cell r="R3461">
            <v>0</v>
          </cell>
          <cell r="S3461">
            <v>23</v>
          </cell>
          <cell r="T3461">
            <v>303</v>
          </cell>
          <cell r="U3461">
            <v>8.9999999350402504</v>
          </cell>
          <cell r="V3461">
            <v>0</v>
          </cell>
          <cell r="W3461">
            <v>0</v>
          </cell>
          <cell r="X3461">
            <v>0</v>
          </cell>
          <cell r="Y3461">
            <v>22.999999833991751</v>
          </cell>
          <cell r="Z3461">
            <v>302.99999781302176</v>
          </cell>
        </row>
        <row r="3462">
          <cell r="C3462" t="str">
            <v>EDİRNE</v>
          </cell>
          <cell r="D3462" t="str">
            <v>UZUNKÖPRÜ</v>
          </cell>
          <cell r="H3462" t="str">
            <v>Dağıtım-OG</v>
          </cell>
          <cell r="I3462" t="str">
            <v>Kısa</v>
          </cell>
          <cell r="J3462" t="str">
            <v>Şebeke İşletmecisi</v>
          </cell>
          <cell r="K3462" t="str">
            <v>Bildirimsiz</v>
          </cell>
          <cell r="O3462">
            <v>2</v>
          </cell>
          <cell r="P3462">
            <v>10</v>
          </cell>
          <cell r="Q3462">
            <v>0</v>
          </cell>
          <cell r="R3462">
            <v>0</v>
          </cell>
          <cell r="S3462">
            <v>5</v>
          </cell>
          <cell r="T3462">
            <v>1003</v>
          </cell>
          <cell r="U3462">
            <v>1.9999999855645001</v>
          </cell>
          <cell r="V3462">
            <v>9.9999999278225005</v>
          </cell>
          <cell r="W3462">
            <v>0</v>
          </cell>
          <cell r="X3462">
            <v>0</v>
          </cell>
          <cell r="Y3462">
            <v>4.9999999639112502</v>
          </cell>
          <cell r="Z3462">
            <v>1002.9999927605968</v>
          </cell>
        </row>
        <row r="3463">
          <cell r="C3463" t="str">
            <v>KIRKLARELİ</v>
          </cell>
          <cell r="D3463" t="str">
            <v>DEMİRKÖY</v>
          </cell>
          <cell r="H3463" t="str">
            <v>Dağıtım-OG</v>
          </cell>
          <cell r="I3463" t="str">
            <v>Kısa</v>
          </cell>
          <cell r="J3463" t="str">
            <v>Şebeke İşletmecisi</v>
          </cell>
          <cell r="K3463" t="str">
            <v>Bildirimsiz</v>
          </cell>
          <cell r="O3463">
            <v>0</v>
          </cell>
          <cell r="P3463">
            <v>0</v>
          </cell>
          <cell r="Q3463">
            <v>3</v>
          </cell>
          <cell r="R3463">
            <v>2</v>
          </cell>
          <cell r="S3463">
            <v>7</v>
          </cell>
          <cell r="T3463">
            <v>109</v>
          </cell>
          <cell r="U3463">
            <v>0</v>
          </cell>
          <cell r="V3463">
            <v>0</v>
          </cell>
          <cell r="W3463">
            <v>2.9999999783467501</v>
          </cell>
          <cell r="X3463">
            <v>1.9999999855645001</v>
          </cell>
          <cell r="Y3463">
            <v>6.9999999494757503</v>
          </cell>
          <cell r="Z3463">
            <v>108.99999921326526</v>
          </cell>
        </row>
        <row r="3464">
          <cell r="C3464" t="str">
            <v>EDİRNE</v>
          </cell>
          <cell r="D3464" t="str">
            <v>HAVSA</v>
          </cell>
          <cell r="H3464" t="str">
            <v>Dağıtım-OG</v>
          </cell>
          <cell r="I3464" t="str">
            <v>Kısa</v>
          </cell>
          <cell r="J3464" t="str">
            <v>Şebeke İşletmecisi</v>
          </cell>
          <cell r="K3464" t="str">
            <v>Bildirimsiz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150</v>
          </cell>
          <cell r="U3464">
            <v>0</v>
          </cell>
          <cell r="V3464">
            <v>0</v>
          </cell>
          <cell r="W3464">
            <v>0</v>
          </cell>
          <cell r="X3464">
            <v>0</v>
          </cell>
          <cell r="Y3464">
            <v>0</v>
          </cell>
          <cell r="Z3464">
            <v>149.99999891733751</v>
          </cell>
        </row>
        <row r="3465">
          <cell r="C3465" t="str">
            <v>KIRKLARELİ</v>
          </cell>
          <cell r="D3465" t="str">
            <v>KIRKLARELİMERKEZ</v>
          </cell>
          <cell r="H3465" t="str">
            <v>Dağıtım-OG</v>
          </cell>
          <cell r="I3465" t="str">
            <v>Kısa</v>
          </cell>
          <cell r="J3465" t="str">
            <v>Şebeke işletmecisi</v>
          </cell>
          <cell r="K3465" t="str">
            <v>Bildirimsiz</v>
          </cell>
          <cell r="O3465">
            <v>9</v>
          </cell>
          <cell r="P3465">
            <v>321</v>
          </cell>
          <cell r="Q3465">
            <v>3</v>
          </cell>
          <cell r="R3465">
            <v>9</v>
          </cell>
          <cell r="S3465">
            <v>1</v>
          </cell>
          <cell r="T3465">
            <v>0</v>
          </cell>
          <cell r="U3465">
            <v>8.9999999350402504</v>
          </cell>
          <cell r="V3465">
            <v>320.99999768310227</v>
          </cell>
          <cell r="W3465">
            <v>2.9999999783467501</v>
          </cell>
          <cell r="X3465">
            <v>8.9999999350402504</v>
          </cell>
          <cell r="Y3465">
            <v>0.99999999278225005</v>
          </cell>
          <cell r="Z3465">
            <v>0</v>
          </cell>
        </row>
        <row r="3466">
          <cell r="C3466" t="str">
            <v>TEKİRDAĞ</v>
          </cell>
          <cell r="D3466" t="str">
            <v>SÜLEYMANPAŞA</v>
          </cell>
          <cell r="H3466" t="str">
            <v>Dağıtım-AG</v>
          </cell>
          <cell r="I3466" t="str">
            <v>Kısa</v>
          </cell>
          <cell r="J3466" t="str">
            <v>Şebeke işletmecisi</v>
          </cell>
          <cell r="K3466" t="str">
            <v>Bildirimsiz</v>
          </cell>
          <cell r="O3466">
            <v>0</v>
          </cell>
          <cell r="P3466">
            <v>45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  <cell r="U3466">
            <v>0</v>
          </cell>
          <cell r="V3466">
            <v>44.249999971361831</v>
          </cell>
          <cell r="W3466">
            <v>0</v>
          </cell>
          <cell r="X3466">
            <v>0</v>
          </cell>
          <cell r="Y3466">
            <v>0</v>
          </cell>
          <cell r="Z3466">
            <v>0</v>
          </cell>
        </row>
        <row r="3467">
          <cell r="C3467" t="str">
            <v>EDİRNE</v>
          </cell>
          <cell r="D3467" t="str">
            <v>HAVSA</v>
          </cell>
          <cell r="H3467" t="str">
            <v>Dağıtım-OG</v>
          </cell>
          <cell r="I3467" t="str">
            <v>Kısa</v>
          </cell>
          <cell r="J3467" t="str">
            <v>Şebeke İşletmecisi</v>
          </cell>
          <cell r="K3467" t="str">
            <v>Bildirimsiz</v>
          </cell>
          <cell r="O3467">
            <v>0</v>
          </cell>
          <cell r="P3467">
            <v>0</v>
          </cell>
          <cell r="Q3467">
            <v>0</v>
          </cell>
          <cell r="R3467">
            <v>1</v>
          </cell>
          <cell r="S3467">
            <v>9</v>
          </cell>
          <cell r="T3467">
            <v>415</v>
          </cell>
          <cell r="U3467">
            <v>0</v>
          </cell>
          <cell r="V3467">
            <v>0</v>
          </cell>
          <cell r="W3467">
            <v>0</v>
          </cell>
          <cell r="X3467">
            <v>0.98333333269692957</v>
          </cell>
          <cell r="Y3467">
            <v>8.8499999942723662</v>
          </cell>
          <cell r="Z3467">
            <v>408.08333306922577</v>
          </cell>
        </row>
        <row r="3468">
          <cell r="C3468" t="str">
            <v>EDİRNE</v>
          </cell>
          <cell r="D3468" t="str">
            <v>HAVSA</v>
          </cell>
          <cell r="H3468" t="str">
            <v>Dağıtım-OG</v>
          </cell>
          <cell r="I3468" t="str">
            <v>Kısa</v>
          </cell>
          <cell r="J3468" t="str">
            <v>Şebeke İşletmecisi</v>
          </cell>
          <cell r="K3468" t="str">
            <v>Bildirimsiz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1</v>
          </cell>
          <cell r="T3468">
            <v>1</v>
          </cell>
          <cell r="U3468">
            <v>0</v>
          </cell>
          <cell r="V3468">
            <v>0</v>
          </cell>
          <cell r="W3468">
            <v>0</v>
          </cell>
          <cell r="X3468">
            <v>0</v>
          </cell>
          <cell r="Y3468">
            <v>0.98333333269692957</v>
          </cell>
          <cell r="Z3468">
            <v>0.98333333269692957</v>
          </cell>
        </row>
        <row r="3469">
          <cell r="C3469" t="str">
            <v>KIRKLARELİ</v>
          </cell>
          <cell r="D3469" t="str">
            <v>VİZE</v>
          </cell>
          <cell r="H3469" t="str">
            <v>Dağıtım-OG</v>
          </cell>
          <cell r="I3469" t="str">
            <v>Kısa</v>
          </cell>
          <cell r="J3469" t="str">
            <v>Şebeke İşletmecisi</v>
          </cell>
          <cell r="K3469" t="str">
            <v>Bildirimsiz</v>
          </cell>
          <cell r="O3469">
            <v>0</v>
          </cell>
          <cell r="P3469">
            <v>0</v>
          </cell>
          <cell r="Q3469">
            <v>1</v>
          </cell>
          <cell r="R3469">
            <v>0</v>
          </cell>
          <cell r="S3469">
            <v>1</v>
          </cell>
          <cell r="T3469">
            <v>0</v>
          </cell>
          <cell r="U3469">
            <v>0</v>
          </cell>
          <cell r="V3469">
            <v>0</v>
          </cell>
          <cell r="W3469">
            <v>0.98333333269692957</v>
          </cell>
          <cell r="X3469">
            <v>0</v>
          </cell>
          <cell r="Y3469">
            <v>0.98333333269692957</v>
          </cell>
          <cell r="Z3469">
            <v>0</v>
          </cell>
        </row>
        <row r="3470">
          <cell r="C3470" t="str">
            <v>KIRKLARELİ</v>
          </cell>
          <cell r="D3470" t="str">
            <v>PINARHİSAR</v>
          </cell>
          <cell r="H3470" t="str">
            <v>Dağıtım-OG</v>
          </cell>
          <cell r="I3470" t="str">
            <v>Kısa</v>
          </cell>
          <cell r="J3470" t="str">
            <v>Şebeke İşletmecisi</v>
          </cell>
          <cell r="K3470" t="str">
            <v>Bildirimsiz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3</v>
          </cell>
          <cell r="T3470">
            <v>537</v>
          </cell>
          <cell r="U3470">
            <v>0</v>
          </cell>
          <cell r="V3470">
            <v>0</v>
          </cell>
          <cell r="W3470">
            <v>0</v>
          </cell>
          <cell r="X3470">
            <v>0</v>
          </cell>
          <cell r="Y3470">
            <v>2.9499999980907887</v>
          </cell>
          <cell r="Z3470">
            <v>528.04999965825118</v>
          </cell>
        </row>
        <row r="3471">
          <cell r="C3471" t="str">
            <v>KIRKLARELİ</v>
          </cell>
          <cell r="D3471" t="str">
            <v>LÜLEBURGAZ</v>
          </cell>
          <cell r="H3471" t="str">
            <v>Dağıtım-OG</v>
          </cell>
          <cell r="I3471" t="str">
            <v>Kısa</v>
          </cell>
          <cell r="J3471" t="str">
            <v>Şebeke İşletmecisi</v>
          </cell>
          <cell r="K3471" t="str">
            <v>Bildirimsiz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7</v>
          </cell>
          <cell r="T3471">
            <v>676</v>
          </cell>
          <cell r="U3471">
            <v>0</v>
          </cell>
          <cell r="V3471">
            <v>0</v>
          </cell>
          <cell r="W3471">
            <v>0</v>
          </cell>
          <cell r="X3471">
            <v>0</v>
          </cell>
          <cell r="Y3471">
            <v>6.883333328878507</v>
          </cell>
          <cell r="Z3471">
            <v>664.73333290312439</v>
          </cell>
        </row>
        <row r="3472">
          <cell r="C3472" t="str">
            <v>EDİRNE</v>
          </cell>
          <cell r="D3472" t="str">
            <v>HAVSA</v>
          </cell>
          <cell r="H3472" t="str">
            <v>Dağıtım-OG</v>
          </cell>
          <cell r="I3472" t="str">
            <v>Kısa</v>
          </cell>
          <cell r="J3472" t="str">
            <v>Şebeke İşletmecisi</v>
          </cell>
          <cell r="K3472" t="str">
            <v>Bildirimsiz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1</v>
          </cell>
          <cell r="T3472">
            <v>1</v>
          </cell>
          <cell r="U3472">
            <v>0</v>
          </cell>
          <cell r="V3472">
            <v>0</v>
          </cell>
          <cell r="W3472">
            <v>0</v>
          </cell>
          <cell r="X3472">
            <v>0</v>
          </cell>
          <cell r="Y3472">
            <v>0.9666666726116091</v>
          </cell>
          <cell r="Z3472">
            <v>0.9666666726116091</v>
          </cell>
        </row>
        <row r="3473">
          <cell r="C3473" t="str">
            <v>EDİRNE</v>
          </cell>
          <cell r="D3473" t="str">
            <v>MERİÇ</v>
          </cell>
          <cell r="H3473" t="str">
            <v>Dağıtım-OG</v>
          </cell>
          <cell r="I3473" t="str">
            <v>Kısa</v>
          </cell>
          <cell r="J3473" t="str">
            <v>Şebeke İşletmecisi</v>
          </cell>
          <cell r="K3473" t="str">
            <v>Bildirimsiz</v>
          </cell>
          <cell r="O3473">
            <v>0</v>
          </cell>
          <cell r="P3473">
            <v>3</v>
          </cell>
          <cell r="Q3473">
            <v>4</v>
          </cell>
          <cell r="R3473">
            <v>2254</v>
          </cell>
          <cell r="S3473">
            <v>27</v>
          </cell>
          <cell r="T3473">
            <v>1199</v>
          </cell>
          <cell r="U3473">
            <v>0</v>
          </cell>
          <cell r="V3473">
            <v>2.850000006146729</v>
          </cell>
          <cell r="W3473">
            <v>3.8000000081956387</v>
          </cell>
          <cell r="X3473">
            <v>2141.3000046182424</v>
          </cell>
          <cell r="Y3473">
            <v>25.650000055320561</v>
          </cell>
          <cell r="Z3473">
            <v>1139.0500024566427</v>
          </cell>
        </row>
        <row r="3474">
          <cell r="C3474" t="str">
            <v>EDİRNE</v>
          </cell>
          <cell r="D3474" t="str">
            <v>MERİÇ</v>
          </cell>
          <cell r="H3474" t="str">
            <v>Dağıtım-OG</v>
          </cell>
          <cell r="I3474" t="str">
            <v>Kısa</v>
          </cell>
          <cell r="J3474" t="str">
            <v>Şebeke İşletmecisi</v>
          </cell>
          <cell r="K3474" t="str">
            <v>Bildirimsiz</v>
          </cell>
          <cell r="O3474">
            <v>0</v>
          </cell>
          <cell r="P3474">
            <v>3</v>
          </cell>
          <cell r="Q3474">
            <v>4</v>
          </cell>
          <cell r="R3474">
            <v>2254</v>
          </cell>
          <cell r="S3474">
            <v>27</v>
          </cell>
          <cell r="T3474">
            <v>1199</v>
          </cell>
          <cell r="U3474">
            <v>0</v>
          </cell>
          <cell r="V3474">
            <v>2.850000006146729</v>
          </cell>
          <cell r="W3474">
            <v>3.8000000081956387</v>
          </cell>
          <cell r="X3474">
            <v>2141.3000046182424</v>
          </cell>
          <cell r="Y3474">
            <v>25.650000055320561</v>
          </cell>
          <cell r="Z3474">
            <v>1139.0500024566427</v>
          </cell>
        </row>
        <row r="3475">
          <cell r="C3475" t="str">
            <v>KIRKLARELİ</v>
          </cell>
          <cell r="D3475" t="str">
            <v>LÜLEBURGAZ</v>
          </cell>
          <cell r="H3475" t="str">
            <v>Dağıtım-OG</v>
          </cell>
          <cell r="I3475" t="str">
            <v>Kısa</v>
          </cell>
          <cell r="J3475" t="str">
            <v>Şebeke İşletmecisi</v>
          </cell>
          <cell r="K3475" t="str">
            <v>Bildirimsiz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7</v>
          </cell>
          <cell r="T3475">
            <v>676</v>
          </cell>
          <cell r="U3475">
            <v>0</v>
          </cell>
          <cell r="V3475">
            <v>0</v>
          </cell>
          <cell r="W3475">
            <v>0</v>
          </cell>
          <cell r="X3475">
            <v>0</v>
          </cell>
          <cell r="Y3475">
            <v>6.6500000143423676</v>
          </cell>
          <cell r="Z3475">
            <v>642.20000138506293</v>
          </cell>
        </row>
        <row r="3476">
          <cell r="C3476" t="str">
            <v>EDİRNE</v>
          </cell>
          <cell r="D3476" t="str">
            <v>MERİÇ</v>
          </cell>
          <cell r="H3476" t="str">
            <v>Dağıtım-OG</v>
          </cell>
          <cell r="I3476" t="str">
            <v>Kısa</v>
          </cell>
          <cell r="J3476" t="str">
            <v>Şebeke İşletmecisi</v>
          </cell>
          <cell r="K3476" t="str">
            <v>Bildirimsiz</v>
          </cell>
          <cell r="O3476">
            <v>0</v>
          </cell>
          <cell r="P3476">
            <v>3</v>
          </cell>
          <cell r="Q3476">
            <v>4</v>
          </cell>
          <cell r="R3476">
            <v>2254</v>
          </cell>
          <cell r="S3476">
            <v>27</v>
          </cell>
          <cell r="T3476">
            <v>1199</v>
          </cell>
          <cell r="U3476">
            <v>0</v>
          </cell>
          <cell r="V3476">
            <v>2.850000006146729</v>
          </cell>
          <cell r="W3476">
            <v>3.8000000081956387</v>
          </cell>
          <cell r="X3476">
            <v>2141.3000046182424</v>
          </cell>
          <cell r="Y3476">
            <v>25.650000055320561</v>
          </cell>
          <cell r="Z3476">
            <v>1139.0500024566427</v>
          </cell>
        </row>
        <row r="3477">
          <cell r="C3477" t="str">
            <v>EDİRNE</v>
          </cell>
          <cell r="D3477" t="str">
            <v>UZUNKÖPRÜ</v>
          </cell>
          <cell r="H3477" t="str">
            <v>Dağıtım-OG</v>
          </cell>
          <cell r="I3477" t="str">
            <v>Kısa</v>
          </cell>
          <cell r="J3477" t="str">
            <v>Şebeke İşletmecisi</v>
          </cell>
          <cell r="K3477" t="str">
            <v>Bildirimsiz</v>
          </cell>
          <cell r="O3477">
            <v>6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  <cell r="U3477">
            <v>5.6999999494291842</v>
          </cell>
          <cell r="V3477">
            <v>0</v>
          </cell>
          <cell r="W3477">
            <v>0</v>
          </cell>
          <cell r="X3477">
            <v>0</v>
          </cell>
          <cell r="Y3477">
            <v>0</v>
          </cell>
          <cell r="Z3477">
            <v>0</v>
          </cell>
        </row>
        <row r="3478">
          <cell r="C3478" t="str">
            <v>EDİRNE</v>
          </cell>
          <cell r="D3478" t="str">
            <v>MERİÇ</v>
          </cell>
          <cell r="H3478" t="str">
            <v>Dağıtım-OG</v>
          </cell>
          <cell r="I3478" t="str">
            <v>Kısa</v>
          </cell>
          <cell r="J3478" t="str">
            <v>Şebeke İşletmecisi</v>
          </cell>
          <cell r="K3478" t="str">
            <v>Bildirimsiz</v>
          </cell>
          <cell r="O3478">
            <v>0</v>
          </cell>
          <cell r="P3478">
            <v>3</v>
          </cell>
          <cell r="Q3478">
            <v>4</v>
          </cell>
          <cell r="R3478">
            <v>2254</v>
          </cell>
          <cell r="S3478">
            <v>27</v>
          </cell>
          <cell r="T3478">
            <v>1199</v>
          </cell>
          <cell r="U3478">
            <v>0</v>
          </cell>
          <cell r="V3478">
            <v>2.7999999944586307</v>
          </cell>
          <cell r="W3478">
            <v>3.7333333259448409</v>
          </cell>
          <cell r="X3478">
            <v>2103.7333291699179</v>
          </cell>
          <cell r="Y3478">
            <v>25.199999950127676</v>
          </cell>
          <cell r="Z3478">
            <v>1119.0666644519661</v>
          </cell>
        </row>
        <row r="3479">
          <cell r="C3479" t="str">
            <v>KIRKLARELİ</v>
          </cell>
          <cell r="D3479" t="str">
            <v>LÜLEBURGAZ</v>
          </cell>
          <cell r="H3479" t="str">
            <v>Dağıtım-OG</v>
          </cell>
          <cell r="I3479" t="str">
            <v>Kısa</v>
          </cell>
          <cell r="J3479" t="str">
            <v>Şebeke İşletmecisi</v>
          </cell>
          <cell r="K3479" t="str">
            <v>Bildirimsiz</v>
          </cell>
          <cell r="O3479">
            <v>3</v>
          </cell>
          <cell r="P3479">
            <v>6</v>
          </cell>
          <cell r="Q3479">
            <v>15</v>
          </cell>
          <cell r="R3479">
            <v>1736</v>
          </cell>
          <cell r="S3479">
            <v>8</v>
          </cell>
          <cell r="T3479">
            <v>233</v>
          </cell>
          <cell r="U3479">
            <v>2.7499999827705324</v>
          </cell>
          <cell r="V3479">
            <v>5.4999999655410647</v>
          </cell>
          <cell r="W3479">
            <v>13.749999913852662</v>
          </cell>
          <cell r="X3479">
            <v>1591.3333233632147</v>
          </cell>
          <cell r="Y3479">
            <v>7.3333332873880863</v>
          </cell>
          <cell r="Z3479">
            <v>213.58333199517801</v>
          </cell>
        </row>
        <row r="3480">
          <cell r="C3480" t="str">
            <v>KIRKLARELİ</v>
          </cell>
          <cell r="D3480" t="str">
            <v>BABAESKİ</v>
          </cell>
          <cell r="H3480" t="str">
            <v>Dağıtım-OG</v>
          </cell>
          <cell r="I3480" t="str">
            <v>Kısa</v>
          </cell>
          <cell r="J3480" t="str">
            <v>Şebeke İşletmecisi</v>
          </cell>
          <cell r="K3480" t="str">
            <v>Bildirimsiz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6</v>
          </cell>
          <cell r="T3480">
            <v>738</v>
          </cell>
          <cell r="U3480">
            <v>0</v>
          </cell>
          <cell r="V3480">
            <v>0</v>
          </cell>
          <cell r="W3480">
            <v>0</v>
          </cell>
          <cell r="X3480">
            <v>0</v>
          </cell>
          <cell r="Y3480">
            <v>5.4000000050291419</v>
          </cell>
          <cell r="Z3480">
            <v>664.20000061858445</v>
          </cell>
        </row>
        <row r="3481">
          <cell r="C3481" t="str">
            <v>EDİRNE</v>
          </cell>
          <cell r="D3481" t="str">
            <v>UZUNKÖPRÜ</v>
          </cell>
          <cell r="H3481" t="str">
            <v>Dağıtım-OG</v>
          </cell>
          <cell r="I3481" t="str">
            <v>Kısa</v>
          </cell>
          <cell r="J3481" t="str">
            <v>Şebeke İşletmecisi</v>
          </cell>
          <cell r="K3481" t="str">
            <v>Bildirimsiz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21</v>
          </cell>
          <cell r="T3481">
            <v>303</v>
          </cell>
          <cell r="U3481">
            <v>0</v>
          </cell>
          <cell r="V3481">
            <v>0</v>
          </cell>
          <cell r="W3481">
            <v>0</v>
          </cell>
          <cell r="X3481">
            <v>0</v>
          </cell>
          <cell r="Y3481">
            <v>18.550000155810267</v>
          </cell>
          <cell r="Z3481">
            <v>267.65000224811956</v>
          </cell>
        </row>
        <row r="3482">
          <cell r="C3482" t="str">
            <v>TEKİRDAĞ</v>
          </cell>
          <cell r="D3482" t="str">
            <v>MARMARAEREĞLİSİ</v>
          </cell>
          <cell r="H3482" t="str">
            <v>Dağıtım-AG</v>
          </cell>
          <cell r="I3482" t="str">
            <v>Kısa</v>
          </cell>
          <cell r="J3482" t="str">
            <v>Şebeke işletmecisi</v>
          </cell>
          <cell r="K3482" t="str">
            <v>Bildirimsiz</v>
          </cell>
          <cell r="O3482">
            <v>0</v>
          </cell>
          <cell r="P3482">
            <v>1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  <cell r="U3482">
            <v>0</v>
          </cell>
          <cell r="V3482">
            <v>0.88333333027549088</v>
          </cell>
          <cell r="W3482">
            <v>0</v>
          </cell>
          <cell r="X3482">
            <v>0</v>
          </cell>
          <cell r="Y3482">
            <v>0</v>
          </cell>
          <cell r="Z3482">
            <v>0</v>
          </cell>
        </row>
        <row r="3483">
          <cell r="C3483" t="str">
            <v>EDİRNE</v>
          </cell>
          <cell r="D3483" t="str">
            <v>UZUNKÖPRÜ</v>
          </cell>
          <cell r="H3483" t="str">
            <v>Dağıtım-OG</v>
          </cell>
          <cell r="I3483" t="str">
            <v>Kısa</v>
          </cell>
          <cell r="J3483" t="str">
            <v>Şebeke İşletmecisi</v>
          </cell>
          <cell r="K3483" t="str">
            <v>Bildirimsiz</v>
          </cell>
          <cell r="O3483">
            <v>9</v>
          </cell>
          <cell r="P3483">
            <v>0</v>
          </cell>
          <cell r="Q3483">
            <v>0</v>
          </cell>
          <cell r="R3483">
            <v>0</v>
          </cell>
          <cell r="S3483">
            <v>4</v>
          </cell>
          <cell r="T3483">
            <v>0</v>
          </cell>
          <cell r="U3483">
            <v>7.9499999724794179</v>
          </cell>
          <cell r="V3483">
            <v>0</v>
          </cell>
          <cell r="W3483">
            <v>0</v>
          </cell>
          <cell r="X3483">
            <v>0</v>
          </cell>
          <cell r="Y3483">
            <v>3.5333333211019635</v>
          </cell>
          <cell r="Z3483">
            <v>0</v>
          </cell>
        </row>
        <row r="3484">
          <cell r="C3484" t="str">
            <v>KIRKLARELİ</v>
          </cell>
          <cell r="D3484" t="str">
            <v>KIRKLARELİMERKEZ</v>
          </cell>
          <cell r="H3484" t="str">
            <v>Dağıtım-OG</v>
          </cell>
          <cell r="I3484" t="str">
            <v>Kısa</v>
          </cell>
          <cell r="J3484" t="str">
            <v>Şebeke İşletmecisi</v>
          </cell>
          <cell r="K3484" t="str">
            <v>Bildirimsiz</v>
          </cell>
          <cell r="O3484">
            <v>22</v>
          </cell>
          <cell r="P3484">
            <v>1078</v>
          </cell>
          <cell r="Q3484">
            <v>4</v>
          </cell>
          <cell r="R3484">
            <v>879</v>
          </cell>
          <cell r="S3484">
            <v>15</v>
          </cell>
          <cell r="T3484">
            <v>2</v>
          </cell>
          <cell r="U3484">
            <v>19.433333266060799</v>
          </cell>
          <cell r="V3484">
            <v>952.23333003697917</v>
          </cell>
          <cell r="W3484">
            <v>3.5333333211019635</v>
          </cell>
          <cell r="X3484">
            <v>776.44999731215648</v>
          </cell>
          <cell r="Y3484">
            <v>13.249999954132363</v>
          </cell>
          <cell r="Z3484">
            <v>1.7666666605509818</v>
          </cell>
        </row>
        <row r="3485">
          <cell r="C3485" t="str">
            <v>EDİRNE</v>
          </cell>
          <cell r="D3485" t="str">
            <v>UZUNKÖPRÜ</v>
          </cell>
          <cell r="H3485" t="str">
            <v>Dağıtım-OG</v>
          </cell>
          <cell r="I3485" t="str">
            <v>Kısa</v>
          </cell>
          <cell r="J3485" t="str">
            <v>Şebeke İşletmecisi</v>
          </cell>
          <cell r="K3485" t="str">
            <v>Bildirimsiz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17</v>
          </cell>
          <cell r="T3485">
            <v>303</v>
          </cell>
          <cell r="U3485">
            <v>0</v>
          </cell>
          <cell r="V3485">
            <v>0</v>
          </cell>
          <cell r="W3485">
            <v>0</v>
          </cell>
          <cell r="X3485">
            <v>0</v>
          </cell>
          <cell r="Y3485">
            <v>14.733333393232897</v>
          </cell>
          <cell r="Z3485">
            <v>262.60000106762163</v>
          </cell>
        </row>
        <row r="3486">
          <cell r="C3486" t="str">
            <v>KIRKLARELİ</v>
          </cell>
          <cell r="D3486" t="str">
            <v>LÜLEBURGAZ</v>
          </cell>
          <cell r="H3486" t="str">
            <v>Dağıtım-OG</v>
          </cell>
          <cell r="I3486" t="str">
            <v>Kısa</v>
          </cell>
          <cell r="J3486" t="str">
            <v>Şebeke işletmecisi</v>
          </cell>
          <cell r="K3486" t="str">
            <v>Bildirimsiz</v>
          </cell>
          <cell r="O3486">
            <v>1</v>
          </cell>
          <cell r="P3486">
            <v>0</v>
          </cell>
          <cell r="Q3486">
            <v>0</v>
          </cell>
          <cell r="R3486">
            <v>0</v>
          </cell>
          <cell r="S3486">
            <v>10</v>
          </cell>
          <cell r="T3486">
            <v>305</v>
          </cell>
          <cell r="U3486">
            <v>0.86666667019017041</v>
          </cell>
          <cell r="V3486">
            <v>0</v>
          </cell>
          <cell r="W3486">
            <v>0</v>
          </cell>
          <cell r="X3486">
            <v>0</v>
          </cell>
          <cell r="Y3486">
            <v>8.6666667019017041</v>
          </cell>
          <cell r="Z3486">
            <v>264.33333440800197</v>
          </cell>
        </row>
        <row r="3487">
          <cell r="C3487" t="str">
            <v>KIRKLARELİ</v>
          </cell>
          <cell r="D3487" t="str">
            <v>VİZE</v>
          </cell>
          <cell r="H3487" t="str">
            <v>Dağıtım-OG</v>
          </cell>
          <cell r="I3487" t="str">
            <v>Kısa</v>
          </cell>
          <cell r="J3487" t="str">
            <v>Şebeke İşletmecisi</v>
          </cell>
          <cell r="K3487" t="str">
            <v>Bildirimsiz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18</v>
          </cell>
          <cell r="T3487">
            <v>501</v>
          </cell>
          <cell r="U3487">
            <v>0</v>
          </cell>
          <cell r="V3487">
            <v>0</v>
          </cell>
          <cell r="W3487">
            <v>0</v>
          </cell>
          <cell r="X3487">
            <v>0</v>
          </cell>
          <cell r="Y3487">
            <v>15.600000063423067</v>
          </cell>
          <cell r="Z3487">
            <v>434.20000176527537</v>
          </cell>
        </row>
        <row r="3488">
          <cell r="C3488" t="str">
            <v>EDİRNE</v>
          </cell>
          <cell r="D3488" t="str">
            <v>UZUNKÖPRÜ</v>
          </cell>
          <cell r="H3488" t="str">
            <v>Dağıtım-OG</v>
          </cell>
          <cell r="I3488" t="str">
            <v>Kısa</v>
          </cell>
          <cell r="J3488" t="str">
            <v>Şebeke İşletmecisi</v>
          </cell>
          <cell r="K3488" t="str">
            <v>Bildirimsiz</v>
          </cell>
          <cell r="O3488">
            <v>12</v>
          </cell>
          <cell r="P3488">
            <v>0</v>
          </cell>
          <cell r="Q3488">
            <v>0</v>
          </cell>
          <cell r="R3488">
            <v>0</v>
          </cell>
          <cell r="S3488">
            <v>4</v>
          </cell>
          <cell r="T3488">
            <v>0</v>
          </cell>
          <cell r="U3488">
            <v>10.400000042282045</v>
          </cell>
          <cell r="V3488">
            <v>0</v>
          </cell>
          <cell r="W3488">
            <v>0</v>
          </cell>
          <cell r="X3488">
            <v>0</v>
          </cell>
          <cell r="Y3488">
            <v>3.4666666807606816</v>
          </cell>
          <cell r="Z3488">
            <v>0</v>
          </cell>
        </row>
        <row r="3489">
          <cell r="C3489" t="str">
            <v>EDİRNE</v>
          </cell>
          <cell r="D3489" t="str">
            <v>UZUNKÖPRÜ</v>
          </cell>
          <cell r="H3489" t="str">
            <v>Dağıtım-OG</v>
          </cell>
          <cell r="I3489" t="str">
            <v>Kısa</v>
          </cell>
          <cell r="J3489" t="str">
            <v>Şebeke İşletmecisi</v>
          </cell>
          <cell r="K3489" t="str">
            <v>Bildirimsiz</v>
          </cell>
          <cell r="O3489">
            <v>9</v>
          </cell>
          <cell r="P3489">
            <v>0</v>
          </cell>
          <cell r="Q3489">
            <v>0</v>
          </cell>
          <cell r="R3489">
            <v>0</v>
          </cell>
          <cell r="S3489">
            <v>4</v>
          </cell>
          <cell r="T3489">
            <v>0</v>
          </cell>
          <cell r="U3489">
            <v>7.799999937415123</v>
          </cell>
          <cell r="V3489">
            <v>0</v>
          </cell>
          <cell r="W3489">
            <v>0</v>
          </cell>
          <cell r="X3489">
            <v>0</v>
          </cell>
          <cell r="Y3489">
            <v>3.4666666388511658</v>
          </cell>
          <cell r="Z3489">
            <v>0</v>
          </cell>
        </row>
        <row r="3490">
          <cell r="C3490" t="str">
            <v>EDİRNE</v>
          </cell>
          <cell r="D3490" t="str">
            <v>UZUNKÖPRÜ</v>
          </cell>
          <cell r="H3490" t="str">
            <v>Dağıtım-OG</v>
          </cell>
          <cell r="I3490" t="str">
            <v>Kısa</v>
          </cell>
          <cell r="J3490" t="str">
            <v>Şebeke İşletmecisi</v>
          </cell>
          <cell r="K3490" t="str">
            <v>Bildirimsiz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23</v>
          </cell>
          <cell r="T3490">
            <v>303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>
            <v>19.933333173394203</v>
          </cell>
          <cell r="Z3490">
            <v>262.59999789297581</v>
          </cell>
        </row>
        <row r="3491">
          <cell r="C3491" t="str">
            <v>EDİRNE</v>
          </cell>
          <cell r="D3491" t="str">
            <v>UZUNKÖPRÜ</v>
          </cell>
          <cell r="H3491" t="str">
            <v>Dağıtım-OG</v>
          </cell>
          <cell r="I3491" t="str">
            <v>Kısa</v>
          </cell>
          <cell r="J3491" t="str">
            <v>Şebeke İşletmecisi</v>
          </cell>
          <cell r="K3491" t="str">
            <v>Bildirimsiz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24</v>
          </cell>
          <cell r="T3491">
            <v>303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>
            <v>20.799999833106995</v>
          </cell>
          <cell r="Z3491">
            <v>262.59999789297581</v>
          </cell>
        </row>
        <row r="3492">
          <cell r="C3492" t="str">
            <v>EDİRNE</v>
          </cell>
          <cell r="D3492" t="str">
            <v>UZUNKÖPRÜ</v>
          </cell>
          <cell r="H3492" t="str">
            <v>Dağıtım-OG</v>
          </cell>
          <cell r="I3492" t="str">
            <v>Kısa</v>
          </cell>
          <cell r="J3492" t="str">
            <v>Şebeke İşletmecisi</v>
          </cell>
          <cell r="K3492" t="str">
            <v>Bildirimsiz</v>
          </cell>
          <cell r="O3492">
            <v>12</v>
          </cell>
          <cell r="P3492">
            <v>0</v>
          </cell>
          <cell r="Q3492">
            <v>0</v>
          </cell>
          <cell r="R3492">
            <v>0</v>
          </cell>
          <cell r="S3492">
            <v>4</v>
          </cell>
          <cell r="T3492">
            <v>0</v>
          </cell>
          <cell r="U3492">
            <v>10.399999916553497</v>
          </cell>
          <cell r="V3492">
            <v>0</v>
          </cell>
          <cell r="W3492">
            <v>0</v>
          </cell>
          <cell r="X3492">
            <v>0</v>
          </cell>
          <cell r="Y3492">
            <v>3.4666666388511658</v>
          </cell>
          <cell r="Z3492">
            <v>0</v>
          </cell>
        </row>
        <row r="3493">
          <cell r="C3493" t="str">
            <v>EDİRNE</v>
          </cell>
          <cell r="D3493" t="str">
            <v>UZUNKÖPRÜ</v>
          </cell>
          <cell r="H3493" t="str">
            <v>Dağıtım-OG</v>
          </cell>
          <cell r="I3493" t="str">
            <v>Kısa</v>
          </cell>
          <cell r="J3493" t="str">
            <v>Şebeke İşletmecisi</v>
          </cell>
          <cell r="K3493" t="str">
            <v>Bildirimsiz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27</v>
          </cell>
          <cell r="T3493">
            <v>303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>
            <v>23.399999812245369</v>
          </cell>
          <cell r="Z3493">
            <v>262.59999789297581</v>
          </cell>
        </row>
        <row r="3494">
          <cell r="C3494" t="str">
            <v>KIRKLARELİ</v>
          </cell>
          <cell r="D3494" t="str">
            <v>VİZE</v>
          </cell>
          <cell r="H3494" t="str">
            <v>Dağıtım-OG</v>
          </cell>
          <cell r="I3494" t="str">
            <v>Kısa</v>
          </cell>
          <cell r="J3494" t="str">
            <v>Şebeke İşletmecisi</v>
          </cell>
          <cell r="K3494" t="str">
            <v>Bildirimsiz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18</v>
          </cell>
          <cell r="T3494">
            <v>501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>
            <v>15.599999874830246</v>
          </cell>
          <cell r="Z3494">
            <v>434.19999651610851</v>
          </cell>
        </row>
        <row r="3495">
          <cell r="C3495" t="str">
            <v>KIRKLARELİ</v>
          </cell>
          <cell r="D3495" t="str">
            <v>VİZE</v>
          </cell>
          <cell r="H3495" t="str">
            <v>Dağıtım-OG</v>
          </cell>
          <cell r="I3495" t="str">
            <v>Kısa</v>
          </cell>
          <cell r="J3495" t="str">
            <v>Şebeke İşletmecisi</v>
          </cell>
          <cell r="K3495" t="str">
            <v>Bildirimsiz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18</v>
          </cell>
          <cell r="T3495">
            <v>501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>
            <v>15.599999874830246</v>
          </cell>
          <cell r="Z3495">
            <v>434.19999651610851</v>
          </cell>
        </row>
        <row r="3496">
          <cell r="C3496" t="str">
            <v>EDİRNE</v>
          </cell>
          <cell r="D3496" t="str">
            <v>EDİRNEMERKEZ</v>
          </cell>
          <cell r="H3496" t="str">
            <v>Dağıtım-AG</v>
          </cell>
          <cell r="I3496" t="str">
            <v>Kısa</v>
          </cell>
          <cell r="J3496" t="str">
            <v>Şebeke işletmecisi</v>
          </cell>
          <cell r="K3496" t="str">
            <v>Bildirimsiz</v>
          </cell>
          <cell r="O3496">
            <v>0</v>
          </cell>
          <cell r="P3496">
            <v>49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41.649999981746078</v>
          </cell>
          <cell r="W3496">
            <v>0</v>
          </cell>
          <cell r="X3496">
            <v>0</v>
          </cell>
          <cell r="Y3496">
            <v>0</v>
          </cell>
          <cell r="Z3496">
            <v>0</v>
          </cell>
        </row>
        <row r="3497">
          <cell r="C3497" t="str">
            <v>EDİRNE</v>
          </cell>
          <cell r="D3497" t="str">
            <v>HAVSA</v>
          </cell>
          <cell r="H3497" t="str">
            <v>Dağıtım-OG</v>
          </cell>
          <cell r="I3497" t="str">
            <v>Kısa</v>
          </cell>
          <cell r="J3497" t="str">
            <v>Şebeke İşletmecisi</v>
          </cell>
          <cell r="K3497" t="str">
            <v>Bildirimsiz</v>
          </cell>
          <cell r="O3497">
            <v>0</v>
          </cell>
          <cell r="P3497">
            <v>0</v>
          </cell>
          <cell r="Q3497">
            <v>0</v>
          </cell>
          <cell r="R3497">
            <v>1</v>
          </cell>
          <cell r="S3497">
            <v>9</v>
          </cell>
          <cell r="T3497">
            <v>415</v>
          </cell>
          <cell r="U3497">
            <v>0</v>
          </cell>
          <cell r="V3497">
            <v>0</v>
          </cell>
          <cell r="W3497">
            <v>0</v>
          </cell>
          <cell r="X3497">
            <v>0.84999999962747097</v>
          </cell>
          <cell r="Y3497">
            <v>7.6499999966472387</v>
          </cell>
          <cell r="Z3497">
            <v>352.74999984540045</v>
          </cell>
        </row>
        <row r="3498">
          <cell r="C3498" t="str">
            <v>EDİRNE</v>
          </cell>
          <cell r="D3498" t="str">
            <v>HAVSA</v>
          </cell>
          <cell r="H3498" t="str">
            <v>Dağıtım-OG</v>
          </cell>
          <cell r="I3498" t="str">
            <v>Kısa</v>
          </cell>
          <cell r="J3498" t="str">
            <v>Şebeke İşletmecisi</v>
          </cell>
          <cell r="K3498" t="str">
            <v>Bildirimsiz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4</v>
          </cell>
          <cell r="T3498">
            <v>1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>
            <v>3.333333358168602</v>
          </cell>
          <cell r="Z3498">
            <v>0.8333333395421505</v>
          </cell>
        </row>
        <row r="3499">
          <cell r="C3499" t="str">
            <v>EDİRNE</v>
          </cell>
          <cell r="D3499" t="str">
            <v>UZUNKÖPRÜ</v>
          </cell>
          <cell r="H3499" t="str">
            <v>Dağıtım-OG</v>
          </cell>
          <cell r="I3499" t="str">
            <v>Kısa</v>
          </cell>
          <cell r="J3499" t="str">
            <v>Şebeke İşletmecisi</v>
          </cell>
          <cell r="K3499" t="str">
            <v>Bildirimsiz</v>
          </cell>
          <cell r="O3499">
            <v>1</v>
          </cell>
          <cell r="P3499">
            <v>0</v>
          </cell>
          <cell r="Q3499">
            <v>0</v>
          </cell>
          <cell r="R3499">
            <v>0</v>
          </cell>
          <cell r="S3499">
            <v>7</v>
          </cell>
          <cell r="T3499">
            <v>0</v>
          </cell>
          <cell r="U3499">
            <v>0.8333333395421505</v>
          </cell>
          <cell r="V3499">
            <v>0</v>
          </cell>
          <cell r="W3499">
            <v>0</v>
          </cell>
          <cell r="X3499">
            <v>0</v>
          </cell>
          <cell r="Y3499">
            <v>5.8333333767950535</v>
          </cell>
          <cell r="Z3499">
            <v>0</v>
          </cell>
        </row>
        <row r="3500">
          <cell r="C3500" t="str">
            <v>EDİRNE</v>
          </cell>
          <cell r="D3500" t="str">
            <v>UZUNKÖPRÜ</v>
          </cell>
          <cell r="H3500" t="str">
            <v>Dağıtım-OG</v>
          </cell>
          <cell r="I3500" t="str">
            <v>Kısa</v>
          </cell>
          <cell r="J3500" t="str">
            <v>Şebeke İşletmecisi</v>
          </cell>
          <cell r="K3500" t="str">
            <v>Bildirimsiz</v>
          </cell>
          <cell r="O3500">
            <v>1</v>
          </cell>
          <cell r="P3500">
            <v>0</v>
          </cell>
          <cell r="Q3500">
            <v>0</v>
          </cell>
          <cell r="R3500">
            <v>0</v>
          </cell>
          <cell r="S3500">
            <v>7</v>
          </cell>
          <cell r="T3500">
            <v>0</v>
          </cell>
          <cell r="U3500">
            <v>0.8333333395421505</v>
          </cell>
          <cell r="V3500">
            <v>0</v>
          </cell>
          <cell r="W3500">
            <v>0</v>
          </cell>
          <cell r="X3500">
            <v>0</v>
          </cell>
          <cell r="Y3500">
            <v>5.8333333767950535</v>
          </cell>
          <cell r="Z3500">
            <v>0</v>
          </cell>
        </row>
        <row r="3501">
          <cell r="C3501" t="str">
            <v>EDİRNE</v>
          </cell>
          <cell r="D3501" t="str">
            <v>EDİRNEMERKEZ</v>
          </cell>
          <cell r="H3501" t="str">
            <v>Dağıtım-OG</v>
          </cell>
          <cell r="I3501" t="str">
            <v>Kısa</v>
          </cell>
          <cell r="J3501" t="str">
            <v>Şebeke İşletmecisi</v>
          </cell>
          <cell r="K3501" t="str">
            <v>Bildirimsiz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3</v>
          </cell>
          <cell r="T3501">
            <v>223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>
            <v>2.4999999871943146</v>
          </cell>
          <cell r="Z3501">
            <v>185.83333238144405</v>
          </cell>
        </row>
        <row r="3502">
          <cell r="C3502" t="str">
            <v>KIRKLARELİ</v>
          </cell>
          <cell r="D3502" t="str">
            <v>VİZE</v>
          </cell>
          <cell r="H3502" t="str">
            <v>Dağıtım-AG</v>
          </cell>
          <cell r="I3502" t="str">
            <v>Kısa</v>
          </cell>
          <cell r="J3502" t="str">
            <v>Şebeke işletmecisi</v>
          </cell>
          <cell r="K3502" t="str">
            <v>Bildirimsiz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18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>
            <v>0</v>
          </cell>
          <cell r="Z3502">
            <v>14.999999923165888</v>
          </cell>
        </row>
        <row r="3503">
          <cell r="C3503" t="str">
            <v>EDİRNE</v>
          </cell>
          <cell r="D3503" t="str">
            <v>UZUNKÖPRÜ</v>
          </cell>
          <cell r="H3503" t="str">
            <v>Dağıtım-OG</v>
          </cell>
          <cell r="I3503" t="str">
            <v>Kısa</v>
          </cell>
          <cell r="J3503" t="str">
            <v>Şebeke İşletmecisi</v>
          </cell>
          <cell r="K3503" t="str">
            <v>Bildirimsiz</v>
          </cell>
          <cell r="O3503">
            <v>1</v>
          </cell>
          <cell r="P3503">
            <v>0</v>
          </cell>
          <cell r="Q3503">
            <v>0</v>
          </cell>
          <cell r="R3503">
            <v>0</v>
          </cell>
          <cell r="S3503">
            <v>7</v>
          </cell>
          <cell r="T3503">
            <v>0</v>
          </cell>
          <cell r="U3503">
            <v>0.83333332906477153</v>
          </cell>
          <cell r="V3503">
            <v>0</v>
          </cell>
          <cell r="W3503">
            <v>0</v>
          </cell>
          <cell r="X3503">
            <v>0</v>
          </cell>
          <cell r="Y3503">
            <v>5.8333333034534007</v>
          </cell>
          <cell r="Z3503">
            <v>0</v>
          </cell>
        </row>
        <row r="3504">
          <cell r="C3504" t="str">
            <v>TEKİRDAĞ</v>
          </cell>
          <cell r="D3504" t="str">
            <v>SÜLEYMANPAŞA</v>
          </cell>
          <cell r="H3504" t="str">
            <v>Dağıtım-OG</v>
          </cell>
          <cell r="I3504" t="str">
            <v>Kısa</v>
          </cell>
          <cell r="J3504" t="str">
            <v>Şebeke İşletmecisi</v>
          </cell>
          <cell r="K3504" t="str">
            <v>Bildirimsiz</v>
          </cell>
          <cell r="O3504">
            <v>10</v>
          </cell>
          <cell r="P3504">
            <v>351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8.1666666897945106</v>
          </cell>
          <cell r="V3504">
            <v>286.65000081178732</v>
          </cell>
          <cell r="W3504">
            <v>0</v>
          </cell>
          <cell r="X3504">
            <v>0</v>
          </cell>
          <cell r="Y3504">
            <v>0</v>
          </cell>
          <cell r="Z3504">
            <v>0</v>
          </cell>
        </row>
        <row r="3505">
          <cell r="C3505" t="str">
            <v>EDİRNE</v>
          </cell>
          <cell r="D3505" t="str">
            <v>UZUNKÖPRÜ</v>
          </cell>
          <cell r="H3505" t="str">
            <v>Dağıtım-OG</v>
          </cell>
          <cell r="I3505" t="str">
            <v>Kısa</v>
          </cell>
          <cell r="J3505" t="str">
            <v>Şebeke İşletmecisi</v>
          </cell>
          <cell r="K3505" t="str">
            <v>Bildirimsiz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24</v>
          </cell>
          <cell r="T3505">
            <v>303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>
            <v>19.600000055506825</v>
          </cell>
          <cell r="Z3505">
            <v>247.45000070077367</v>
          </cell>
        </row>
        <row r="3506">
          <cell r="C3506" t="str">
            <v>EDİRNE</v>
          </cell>
          <cell r="D3506" t="str">
            <v>UZUNKÖPRÜ</v>
          </cell>
          <cell r="H3506" t="str">
            <v>Dağıtım-OG</v>
          </cell>
          <cell r="I3506" t="str">
            <v>Kısa</v>
          </cell>
          <cell r="J3506" t="str">
            <v>Şebeke İşletmecisi</v>
          </cell>
          <cell r="K3506" t="str">
            <v>Bildirimsiz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23</v>
          </cell>
          <cell r="T3506">
            <v>303</v>
          </cell>
          <cell r="U3506">
            <v>0</v>
          </cell>
          <cell r="V3506">
            <v>0</v>
          </cell>
          <cell r="W3506">
            <v>0</v>
          </cell>
          <cell r="X3506">
            <v>0</v>
          </cell>
          <cell r="Y3506">
            <v>18.399999963585287</v>
          </cell>
          <cell r="Z3506">
            <v>242.39999952027574</v>
          </cell>
        </row>
        <row r="3507">
          <cell r="C3507" t="str">
            <v>EDİRNE</v>
          </cell>
          <cell r="D3507" t="str">
            <v>UZUNKÖPRÜ</v>
          </cell>
          <cell r="H3507" t="str">
            <v>Dağıtım-OG</v>
          </cell>
          <cell r="I3507" t="str">
            <v>Kısa</v>
          </cell>
          <cell r="J3507" t="str">
            <v>Şebeke İşletmecisi</v>
          </cell>
          <cell r="K3507" t="str">
            <v>Bildirimsiz</v>
          </cell>
          <cell r="O3507">
            <v>12</v>
          </cell>
          <cell r="P3507">
            <v>0</v>
          </cell>
          <cell r="Q3507">
            <v>0</v>
          </cell>
          <cell r="R3507">
            <v>0</v>
          </cell>
          <cell r="S3507">
            <v>4</v>
          </cell>
          <cell r="T3507">
            <v>0</v>
          </cell>
          <cell r="U3507">
            <v>9.4000000599771738</v>
          </cell>
          <cell r="V3507">
            <v>0</v>
          </cell>
          <cell r="W3507">
            <v>0</v>
          </cell>
          <cell r="X3507">
            <v>0</v>
          </cell>
          <cell r="Y3507">
            <v>3.1333333533257246</v>
          </cell>
          <cell r="Z3507">
            <v>0</v>
          </cell>
        </row>
        <row r="3508">
          <cell r="C3508" t="str">
            <v>TEKİRDAĞ</v>
          </cell>
          <cell r="D3508" t="str">
            <v>MARMARAEREĞLİSİ</v>
          </cell>
          <cell r="H3508" t="str">
            <v>Dağıtım-AG</v>
          </cell>
          <cell r="I3508" t="str">
            <v>Kısa</v>
          </cell>
          <cell r="J3508" t="str">
            <v>Şebeke işletmecisi</v>
          </cell>
          <cell r="K3508" t="str">
            <v>Bildirimsiz</v>
          </cell>
          <cell r="O3508">
            <v>0</v>
          </cell>
          <cell r="P3508">
            <v>0</v>
          </cell>
          <cell r="Q3508">
            <v>0</v>
          </cell>
          <cell r="R3508">
            <v>10</v>
          </cell>
          <cell r="S3508">
            <v>0</v>
          </cell>
          <cell r="T3508">
            <v>0</v>
          </cell>
          <cell r="U3508">
            <v>0</v>
          </cell>
          <cell r="V3508">
            <v>0</v>
          </cell>
          <cell r="W3508">
            <v>0</v>
          </cell>
          <cell r="X3508">
            <v>7.6666666776873171</v>
          </cell>
          <cell r="Y3508">
            <v>0</v>
          </cell>
          <cell r="Z3508">
            <v>0</v>
          </cell>
        </row>
        <row r="3509">
          <cell r="C3509" t="str">
            <v>EDİRNE</v>
          </cell>
          <cell r="D3509" t="str">
            <v>UZUNKÖPRÜ</v>
          </cell>
          <cell r="H3509" t="str">
            <v>Dağıtım-OG</v>
          </cell>
          <cell r="I3509" t="str">
            <v>Kısa</v>
          </cell>
          <cell r="J3509" t="str">
            <v>Şebeke İşletmecisi</v>
          </cell>
          <cell r="K3509" t="str">
            <v>Bildirimsiz</v>
          </cell>
          <cell r="O3509">
            <v>5</v>
          </cell>
          <cell r="P3509">
            <v>0</v>
          </cell>
          <cell r="Q3509">
            <v>0</v>
          </cell>
          <cell r="R3509">
            <v>10</v>
          </cell>
          <cell r="S3509">
            <v>28</v>
          </cell>
          <cell r="T3509">
            <v>971</v>
          </cell>
          <cell r="U3509">
            <v>3.8333333388436586</v>
          </cell>
          <cell r="V3509">
            <v>0</v>
          </cell>
          <cell r="W3509">
            <v>0</v>
          </cell>
          <cell r="X3509">
            <v>7.6666666776873171</v>
          </cell>
          <cell r="Y3509">
            <v>21.466666697524488</v>
          </cell>
          <cell r="Z3509">
            <v>744.43333440343849</v>
          </cell>
        </row>
        <row r="3510">
          <cell r="C3510" t="str">
            <v>EDİRNE</v>
          </cell>
          <cell r="D3510" t="str">
            <v>EDİRNEMERKEZ</v>
          </cell>
          <cell r="H3510" t="str">
            <v>Dağıtım-OG</v>
          </cell>
          <cell r="I3510" t="str">
            <v>Kısa</v>
          </cell>
          <cell r="J3510" t="str">
            <v>Şebeke İşletmecisi</v>
          </cell>
          <cell r="K3510" t="str">
            <v>Bildirimsiz</v>
          </cell>
          <cell r="O3510">
            <v>0</v>
          </cell>
          <cell r="P3510">
            <v>0</v>
          </cell>
          <cell r="Q3510">
            <v>0</v>
          </cell>
          <cell r="R3510">
            <v>1</v>
          </cell>
          <cell r="S3510">
            <v>9</v>
          </cell>
          <cell r="T3510">
            <v>414</v>
          </cell>
          <cell r="U3510">
            <v>0</v>
          </cell>
          <cell r="V3510">
            <v>0</v>
          </cell>
          <cell r="W3510">
            <v>0</v>
          </cell>
          <cell r="X3510">
            <v>0.74999999720603228</v>
          </cell>
          <cell r="Y3510">
            <v>6.7499999748542905</v>
          </cell>
          <cell r="Z3510">
            <v>310.49999884329736</v>
          </cell>
        </row>
        <row r="3511">
          <cell r="C3511" t="str">
            <v>EDİRNE</v>
          </cell>
          <cell r="D3511" t="str">
            <v>UZUNKÖPRÜ</v>
          </cell>
          <cell r="H3511" t="str">
            <v>Dağıtım-OG</v>
          </cell>
          <cell r="I3511" t="str">
            <v>Kısa</v>
          </cell>
          <cell r="J3511" t="str">
            <v>Şebeke İşletmecisi</v>
          </cell>
          <cell r="K3511" t="str">
            <v>Bildirimsiz</v>
          </cell>
          <cell r="O3511">
            <v>2</v>
          </cell>
          <cell r="P3511">
            <v>10</v>
          </cell>
          <cell r="Q3511">
            <v>0</v>
          </cell>
          <cell r="R3511">
            <v>0</v>
          </cell>
          <cell r="S3511">
            <v>5</v>
          </cell>
          <cell r="T3511">
            <v>1002</v>
          </cell>
          <cell r="U3511">
            <v>1.4999999944120646</v>
          </cell>
          <cell r="V3511">
            <v>7.4999999720603228</v>
          </cell>
          <cell r="W3511">
            <v>0</v>
          </cell>
          <cell r="X3511">
            <v>0</v>
          </cell>
          <cell r="Y3511">
            <v>3.7499999860301614</v>
          </cell>
          <cell r="Z3511">
            <v>751.49999720044434</v>
          </cell>
        </row>
        <row r="3512">
          <cell r="C3512" t="str">
            <v>KIRKLARELİ</v>
          </cell>
          <cell r="D3512" t="str">
            <v>LÜLEBURGAZ</v>
          </cell>
          <cell r="H3512" t="str">
            <v>Dağıtım-OG</v>
          </cell>
          <cell r="I3512" t="str">
            <v>Kısa</v>
          </cell>
          <cell r="J3512" t="str">
            <v>Şebeke İşletmecisi</v>
          </cell>
          <cell r="K3512" t="str">
            <v>Bildirimsiz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8</v>
          </cell>
          <cell r="T3512">
            <v>0</v>
          </cell>
          <cell r="U3512">
            <v>0</v>
          </cell>
          <cell r="V3512">
            <v>0</v>
          </cell>
          <cell r="W3512">
            <v>0</v>
          </cell>
          <cell r="X3512">
            <v>0</v>
          </cell>
          <cell r="Y3512">
            <v>5.9999999776482582</v>
          </cell>
          <cell r="Z3512">
            <v>0</v>
          </cell>
        </row>
        <row r="3513">
          <cell r="C3513" t="str">
            <v>KIRKLARELİ</v>
          </cell>
          <cell r="D3513" t="str">
            <v>LÜLEBURGAZ</v>
          </cell>
          <cell r="H3513" t="str">
            <v>Dağıtım-OG</v>
          </cell>
          <cell r="I3513" t="str">
            <v>Kısa</v>
          </cell>
          <cell r="J3513" t="str">
            <v>Şebeke İşletmecisi</v>
          </cell>
          <cell r="K3513" t="str">
            <v>Bildirimsiz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8</v>
          </cell>
          <cell r="T3513">
            <v>0</v>
          </cell>
          <cell r="U3513">
            <v>0</v>
          </cell>
          <cell r="V3513">
            <v>0</v>
          </cell>
          <cell r="W3513">
            <v>0</v>
          </cell>
          <cell r="X3513">
            <v>0</v>
          </cell>
          <cell r="Y3513">
            <v>5.8666666969656944</v>
          </cell>
          <cell r="Z3513">
            <v>0</v>
          </cell>
        </row>
        <row r="3514">
          <cell r="C3514" t="str">
            <v>TEKİRDAĞ</v>
          </cell>
          <cell r="D3514" t="str">
            <v>SÜLEYMANPAŞA</v>
          </cell>
          <cell r="H3514" t="str">
            <v>Dağıtım-OG</v>
          </cell>
          <cell r="I3514" t="str">
            <v>Kısa</v>
          </cell>
          <cell r="J3514" t="str">
            <v>Şebeke İşletmecisi</v>
          </cell>
          <cell r="K3514" t="str">
            <v>Bildirimsiz</v>
          </cell>
          <cell r="O3514">
            <v>16</v>
          </cell>
          <cell r="P3514">
            <v>19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  <cell r="U3514">
            <v>11.733333393931389</v>
          </cell>
          <cell r="V3514">
            <v>13.933333405293524</v>
          </cell>
          <cell r="W3514">
            <v>0</v>
          </cell>
          <cell r="X3514">
            <v>0</v>
          </cell>
          <cell r="Y3514">
            <v>0</v>
          </cell>
          <cell r="Z3514">
            <v>0</v>
          </cell>
        </row>
        <row r="3515">
          <cell r="C3515" t="str">
            <v>KIRKLARELİ</v>
          </cell>
          <cell r="D3515" t="str">
            <v>KIRKLARELİMERKEZ</v>
          </cell>
          <cell r="H3515" t="str">
            <v>Dağıtım-OG</v>
          </cell>
          <cell r="I3515" t="str">
            <v>Kısa</v>
          </cell>
          <cell r="J3515" t="str">
            <v>Şebeke İşletmecisi</v>
          </cell>
          <cell r="K3515" t="str">
            <v>Bildirimsiz</v>
          </cell>
          <cell r="O3515">
            <v>0</v>
          </cell>
          <cell r="P3515">
            <v>0</v>
          </cell>
          <cell r="Q3515">
            <v>5</v>
          </cell>
          <cell r="R3515">
            <v>0</v>
          </cell>
          <cell r="S3515">
            <v>9</v>
          </cell>
          <cell r="T3515">
            <v>668</v>
          </cell>
          <cell r="U3515">
            <v>0</v>
          </cell>
          <cell r="V3515">
            <v>0</v>
          </cell>
          <cell r="W3515">
            <v>3.5833333327900618</v>
          </cell>
          <cell r="X3515">
            <v>0</v>
          </cell>
          <cell r="Y3515">
            <v>6.4499999990221113</v>
          </cell>
          <cell r="Z3515">
            <v>478.73333326075226</v>
          </cell>
        </row>
        <row r="3516">
          <cell r="C3516" t="str">
            <v>EDİRNE</v>
          </cell>
          <cell r="D3516" t="str">
            <v>UZUNKÖPRÜ</v>
          </cell>
          <cell r="H3516" t="str">
            <v>Dağıtım-OG</v>
          </cell>
          <cell r="I3516" t="str">
            <v>Kısa</v>
          </cell>
          <cell r="J3516" t="str">
            <v>Şebeke İşletmecisi</v>
          </cell>
          <cell r="K3516" t="str">
            <v>Bildirimsiz</v>
          </cell>
          <cell r="O3516">
            <v>0</v>
          </cell>
          <cell r="P3516">
            <v>628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>
            <v>0</v>
          </cell>
          <cell r="V3516">
            <v>450.06666659843177</v>
          </cell>
          <cell r="W3516">
            <v>0</v>
          </cell>
          <cell r="X3516">
            <v>0</v>
          </cell>
          <cell r="Y3516">
            <v>0</v>
          </cell>
          <cell r="Z3516">
            <v>0</v>
          </cell>
        </row>
        <row r="3517">
          <cell r="C3517" t="str">
            <v>EDİRNE</v>
          </cell>
          <cell r="D3517" t="str">
            <v>EDİRNEMERKEZ</v>
          </cell>
          <cell r="H3517" t="str">
            <v>Dağıtım-OG</v>
          </cell>
          <cell r="I3517" t="str">
            <v>Kısa</v>
          </cell>
          <cell r="J3517" t="str">
            <v>Şebeke İşletmecisi</v>
          </cell>
          <cell r="K3517" t="str">
            <v>Bildirimsiz</v>
          </cell>
          <cell r="O3517">
            <v>7</v>
          </cell>
          <cell r="P3517">
            <v>717</v>
          </cell>
          <cell r="Q3517">
            <v>0</v>
          </cell>
          <cell r="R3517">
            <v>0</v>
          </cell>
          <cell r="S3517">
            <v>3</v>
          </cell>
          <cell r="T3517">
            <v>102</v>
          </cell>
          <cell r="U3517">
            <v>4.8999999719671905</v>
          </cell>
          <cell r="V3517">
            <v>501.89999712863937</v>
          </cell>
          <cell r="W3517">
            <v>0</v>
          </cell>
          <cell r="X3517">
            <v>0</v>
          </cell>
          <cell r="Y3517">
            <v>2.0999999879859388</v>
          </cell>
          <cell r="Z3517">
            <v>71.399999591521919</v>
          </cell>
        </row>
        <row r="3518">
          <cell r="C3518" t="str">
            <v>EDİRNE</v>
          </cell>
          <cell r="D3518" t="str">
            <v>ENEZ</v>
          </cell>
          <cell r="H3518" t="str">
            <v>Dağıtım-OG</v>
          </cell>
          <cell r="I3518" t="str">
            <v>Kısa</v>
          </cell>
          <cell r="J3518" t="str">
            <v>Şebeke İşletmecisi</v>
          </cell>
          <cell r="K3518" t="str">
            <v>Bildirimsiz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5</v>
          </cell>
          <cell r="T3518">
            <v>0</v>
          </cell>
          <cell r="U3518">
            <v>0</v>
          </cell>
          <cell r="V3518">
            <v>0</v>
          </cell>
          <cell r="W3518">
            <v>0</v>
          </cell>
          <cell r="X3518">
            <v>0</v>
          </cell>
          <cell r="Y3518">
            <v>3.4999999799765646</v>
          </cell>
          <cell r="Z3518">
            <v>0</v>
          </cell>
        </row>
        <row r="3519">
          <cell r="C3519" t="str">
            <v>EDİRNE</v>
          </cell>
          <cell r="D3519" t="str">
            <v>EDİRNEMERKEZ</v>
          </cell>
          <cell r="H3519" t="str">
            <v>Dağıtım-OG</v>
          </cell>
          <cell r="I3519" t="str">
            <v>Kısa</v>
          </cell>
          <cell r="J3519" t="str">
            <v>Şebeke İşletmecisi</v>
          </cell>
          <cell r="K3519" t="str">
            <v>Bildirimsiz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3</v>
          </cell>
          <cell r="T3519">
            <v>0</v>
          </cell>
          <cell r="U3519">
            <v>0</v>
          </cell>
          <cell r="V3519">
            <v>0</v>
          </cell>
          <cell r="W3519">
            <v>0</v>
          </cell>
          <cell r="X3519">
            <v>0</v>
          </cell>
          <cell r="Y3519">
            <v>2.0999999879859388</v>
          </cell>
          <cell r="Z3519">
            <v>0</v>
          </cell>
        </row>
        <row r="3520">
          <cell r="C3520" t="str">
            <v>TEKİRDAĞ</v>
          </cell>
          <cell r="D3520" t="str">
            <v>ÇERKEZKÖY</v>
          </cell>
          <cell r="H3520" t="str">
            <v>Dağıtım-OG</v>
          </cell>
          <cell r="I3520" t="str">
            <v>Kısa</v>
          </cell>
          <cell r="J3520" t="str">
            <v>Şebeke İşletmecisi</v>
          </cell>
          <cell r="K3520" t="str">
            <v>Bildirimsiz</v>
          </cell>
          <cell r="O3520">
            <v>2</v>
          </cell>
          <cell r="P3520">
            <v>39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  <cell r="U3520">
            <v>1.3666666718199849</v>
          </cell>
          <cell r="V3520">
            <v>26.650000100489706</v>
          </cell>
          <cell r="W3520">
            <v>0</v>
          </cell>
          <cell r="X3520">
            <v>0</v>
          </cell>
          <cell r="Y3520">
            <v>0</v>
          </cell>
          <cell r="Z3520">
            <v>0</v>
          </cell>
        </row>
        <row r="3521">
          <cell r="C3521" t="str">
            <v>EDİRNE</v>
          </cell>
          <cell r="D3521" t="str">
            <v>İPSALA</v>
          </cell>
          <cell r="H3521" t="str">
            <v>Dağıtım-OG</v>
          </cell>
          <cell r="I3521" t="str">
            <v>Kısa</v>
          </cell>
          <cell r="J3521" t="str">
            <v>Şebeke İşletmecisi</v>
          </cell>
          <cell r="K3521" t="str">
            <v>Bildirimsiz</v>
          </cell>
          <cell r="O3521">
            <v>0</v>
          </cell>
          <cell r="P3521">
            <v>0</v>
          </cell>
          <cell r="Q3521">
            <v>1</v>
          </cell>
          <cell r="R3521">
            <v>0</v>
          </cell>
          <cell r="S3521">
            <v>7</v>
          </cell>
          <cell r="T3521">
            <v>124</v>
          </cell>
          <cell r="U3521">
            <v>0</v>
          </cell>
          <cell r="V3521">
            <v>0</v>
          </cell>
          <cell r="W3521">
            <v>0.66666667582467198</v>
          </cell>
          <cell r="X3521">
            <v>0</v>
          </cell>
          <cell r="Y3521">
            <v>4.6666667307727039</v>
          </cell>
          <cell r="Z3521">
            <v>82.666667802259326</v>
          </cell>
        </row>
        <row r="3522">
          <cell r="C3522" t="str">
            <v>KIRKLARELİ</v>
          </cell>
          <cell r="D3522" t="str">
            <v>KIRKLARELİMERKEZ</v>
          </cell>
          <cell r="H3522" t="str">
            <v>Dağıtım-OG</v>
          </cell>
          <cell r="I3522" t="str">
            <v>Kısa</v>
          </cell>
          <cell r="J3522" t="str">
            <v>Şebeke İşletmecisi</v>
          </cell>
          <cell r="K3522" t="str">
            <v>Bildirimsiz</v>
          </cell>
          <cell r="O3522">
            <v>1</v>
          </cell>
          <cell r="P3522">
            <v>4562</v>
          </cell>
          <cell r="Q3522">
            <v>0</v>
          </cell>
          <cell r="R3522">
            <v>4</v>
          </cell>
          <cell r="S3522">
            <v>0</v>
          </cell>
          <cell r="T3522">
            <v>9</v>
          </cell>
          <cell r="U3522">
            <v>0.66666666534729302</v>
          </cell>
          <cell r="V3522">
            <v>3041.3333273143508</v>
          </cell>
          <cell r="W3522">
            <v>0</v>
          </cell>
          <cell r="X3522">
            <v>2.6666666613891721</v>
          </cell>
          <cell r="Y3522">
            <v>0</v>
          </cell>
          <cell r="Z3522">
            <v>5.9999999881256372</v>
          </cell>
        </row>
        <row r="3523">
          <cell r="C3523" t="str">
            <v>TEKİRDAĞ</v>
          </cell>
          <cell r="D3523" t="str">
            <v>SÜLEYMANPAŞA</v>
          </cell>
          <cell r="H3523" t="str">
            <v>Dağıtım-OG</v>
          </cell>
          <cell r="I3523" t="str">
            <v>Kısa</v>
          </cell>
          <cell r="J3523" t="str">
            <v>Şebeke İşletmecisi</v>
          </cell>
          <cell r="K3523" t="str">
            <v>Bildirimsiz</v>
          </cell>
          <cell r="O3523">
            <v>10</v>
          </cell>
          <cell r="P3523">
            <v>351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>
            <v>6.6666666534729302</v>
          </cell>
          <cell r="V3523">
            <v>233.99999953689985</v>
          </cell>
          <cell r="W3523">
            <v>0</v>
          </cell>
          <cell r="X3523">
            <v>0</v>
          </cell>
          <cell r="Y3523">
            <v>0</v>
          </cell>
          <cell r="Z3523">
            <v>0</v>
          </cell>
        </row>
        <row r="3524">
          <cell r="C3524" t="str">
            <v>EDİRNE</v>
          </cell>
          <cell r="D3524" t="str">
            <v>UZUNKÖPRÜ</v>
          </cell>
          <cell r="H3524" t="str">
            <v>Dağıtım-OG</v>
          </cell>
          <cell r="I3524" t="str">
            <v>Kısa</v>
          </cell>
          <cell r="J3524" t="str">
            <v>Şebeke İşletmecisi</v>
          </cell>
          <cell r="K3524" t="str">
            <v>Bildirimsiz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28</v>
          </cell>
          <cell r="T3524">
            <v>747</v>
          </cell>
          <cell r="U3524">
            <v>0</v>
          </cell>
          <cell r="V3524">
            <v>0</v>
          </cell>
          <cell r="W3524">
            <v>0</v>
          </cell>
          <cell r="X3524">
            <v>0</v>
          </cell>
          <cell r="Y3524">
            <v>18.666666629724205</v>
          </cell>
          <cell r="Z3524">
            <v>497.99999901442789</v>
          </cell>
        </row>
        <row r="3525">
          <cell r="C3525" t="str">
            <v>KIRKLARELİ</v>
          </cell>
          <cell r="D3525" t="str">
            <v>VİZE</v>
          </cell>
          <cell r="H3525" t="str">
            <v>Dağıtım-OG</v>
          </cell>
          <cell r="I3525" t="str">
            <v>Kısa</v>
          </cell>
          <cell r="J3525" t="str">
            <v>Şebeke İşletmecisi</v>
          </cell>
          <cell r="K3525" t="str">
            <v>Bildirimsiz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393</v>
          </cell>
          <cell r="U3525">
            <v>0</v>
          </cell>
          <cell r="V3525">
            <v>0</v>
          </cell>
          <cell r="W3525">
            <v>0</v>
          </cell>
          <cell r="X3525">
            <v>0</v>
          </cell>
          <cell r="Y3525">
            <v>0</v>
          </cell>
          <cell r="Z3525">
            <v>261.99999948148616</v>
          </cell>
        </row>
        <row r="3526">
          <cell r="C3526" t="str">
            <v>KIRKLARELİ</v>
          </cell>
          <cell r="D3526" t="str">
            <v>VİZE</v>
          </cell>
          <cell r="H3526" t="str">
            <v>Dağıtım-OG</v>
          </cell>
          <cell r="I3526" t="str">
            <v>Kısa</v>
          </cell>
          <cell r="J3526" t="str">
            <v>Şebeke İşletmecisi</v>
          </cell>
          <cell r="K3526" t="str">
            <v>Bildirimsiz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18</v>
          </cell>
          <cell r="T3526">
            <v>501</v>
          </cell>
          <cell r="U3526">
            <v>0</v>
          </cell>
          <cell r="V3526">
            <v>0</v>
          </cell>
          <cell r="W3526">
            <v>0</v>
          </cell>
          <cell r="X3526">
            <v>0</v>
          </cell>
          <cell r="Y3526">
            <v>11.999999976251274</v>
          </cell>
          <cell r="Z3526">
            <v>333.9999993389938</v>
          </cell>
        </row>
        <row r="3527">
          <cell r="C3527" t="str">
            <v>KIRKLARELİ</v>
          </cell>
          <cell r="D3527" t="str">
            <v>VİZE</v>
          </cell>
          <cell r="H3527" t="str">
            <v>Dağıtım-OG</v>
          </cell>
          <cell r="I3527" t="str">
            <v>Kısa</v>
          </cell>
          <cell r="J3527" t="str">
            <v>Şebeke İşletmecisi</v>
          </cell>
          <cell r="K3527" t="str">
            <v>Bildirimsiz</v>
          </cell>
          <cell r="O3527">
            <v>0</v>
          </cell>
          <cell r="P3527">
            <v>0</v>
          </cell>
          <cell r="Q3527">
            <v>7</v>
          </cell>
          <cell r="R3527">
            <v>1248</v>
          </cell>
          <cell r="S3527">
            <v>10</v>
          </cell>
          <cell r="T3527">
            <v>573</v>
          </cell>
          <cell r="U3527">
            <v>0</v>
          </cell>
          <cell r="V3527">
            <v>0</v>
          </cell>
          <cell r="W3527">
            <v>4.5500000368338078</v>
          </cell>
          <cell r="X3527">
            <v>811.20000656694174</v>
          </cell>
          <cell r="Y3527">
            <v>6.5000000526197255</v>
          </cell>
          <cell r="Z3527">
            <v>372.45000301511027</v>
          </cell>
        </row>
        <row r="3528">
          <cell r="C3528" t="str">
            <v>KIRKLARELİ</v>
          </cell>
          <cell r="D3528" t="str">
            <v>VİZE</v>
          </cell>
          <cell r="H3528" t="str">
            <v>Dağıtım-OG</v>
          </cell>
          <cell r="I3528" t="str">
            <v>Kısa</v>
          </cell>
          <cell r="J3528" t="str">
            <v>Şebeke İşletmecisi</v>
          </cell>
          <cell r="K3528" t="str">
            <v>Bildirimsiz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18</v>
          </cell>
          <cell r="T3528">
            <v>501</v>
          </cell>
          <cell r="U3528">
            <v>0</v>
          </cell>
          <cell r="V3528">
            <v>0</v>
          </cell>
          <cell r="W3528">
            <v>0</v>
          </cell>
          <cell r="X3528">
            <v>0</v>
          </cell>
          <cell r="Y3528">
            <v>11.699999906122684</v>
          </cell>
          <cell r="Z3528">
            <v>325.64999738708138</v>
          </cell>
        </row>
        <row r="3529">
          <cell r="C3529" t="str">
            <v>EDİRNE</v>
          </cell>
          <cell r="D3529" t="str">
            <v>HAVSA</v>
          </cell>
          <cell r="H3529" t="str">
            <v>Dağıtım-OG</v>
          </cell>
          <cell r="I3529" t="str">
            <v>Kısa</v>
          </cell>
          <cell r="J3529" t="str">
            <v>Şebeke İşletmecisi</v>
          </cell>
          <cell r="K3529" t="str">
            <v>Bildirimsiz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161</v>
          </cell>
          <cell r="U3529">
            <v>0</v>
          </cell>
          <cell r="V3529">
            <v>0</v>
          </cell>
          <cell r="W3529">
            <v>0</v>
          </cell>
          <cell r="X3529">
            <v>0</v>
          </cell>
          <cell r="Y3529">
            <v>0</v>
          </cell>
          <cell r="Z3529">
            <v>104.64999916031957</v>
          </cell>
        </row>
        <row r="3530">
          <cell r="C3530" t="str">
            <v>KIRKLARELİ</v>
          </cell>
          <cell r="D3530" t="str">
            <v>VİZE</v>
          </cell>
          <cell r="H3530" t="str">
            <v>Dağıtım-OG</v>
          </cell>
          <cell r="I3530" t="str">
            <v>Kısa</v>
          </cell>
          <cell r="J3530" t="str">
            <v>Şebeke İşletmecisi</v>
          </cell>
          <cell r="K3530" t="str">
            <v>Bildirimsiz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1</v>
          </cell>
          <cell r="T3530">
            <v>0</v>
          </cell>
          <cell r="U3530">
            <v>0</v>
          </cell>
          <cell r="V3530">
            <v>0</v>
          </cell>
          <cell r="W3530">
            <v>0</v>
          </cell>
          <cell r="X3530">
            <v>0</v>
          </cell>
          <cell r="Y3530">
            <v>0.64999999478459358</v>
          </cell>
          <cell r="Z3530">
            <v>0</v>
          </cell>
        </row>
        <row r="3531">
          <cell r="C3531" t="str">
            <v>KIRKLARELİ</v>
          </cell>
          <cell r="D3531" t="str">
            <v>VİZE</v>
          </cell>
          <cell r="H3531" t="str">
            <v>Dağıtım-OG</v>
          </cell>
          <cell r="I3531" t="str">
            <v>Kısa</v>
          </cell>
          <cell r="J3531" t="str">
            <v>Şebeke İşletmecisi</v>
          </cell>
          <cell r="K3531" t="str">
            <v>Bildirimsiz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18</v>
          </cell>
          <cell r="T3531">
            <v>501</v>
          </cell>
          <cell r="U3531">
            <v>0</v>
          </cell>
          <cell r="V3531">
            <v>0</v>
          </cell>
          <cell r="W3531">
            <v>0</v>
          </cell>
          <cell r="X3531">
            <v>0</v>
          </cell>
          <cell r="Y3531">
            <v>11.699999906122684</v>
          </cell>
          <cell r="Z3531">
            <v>325.64999738708138</v>
          </cell>
        </row>
        <row r="3532">
          <cell r="C3532" t="str">
            <v>TEKİRDAĞ</v>
          </cell>
          <cell r="D3532" t="str">
            <v>SÜLEYMANPAŞA</v>
          </cell>
          <cell r="H3532" t="str">
            <v>Dağıtım-OG</v>
          </cell>
          <cell r="I3532" t="str">
            <v>Kısa</v>
          </cell>
          <cell r="J3532" t="str">
            <v>Şebeke İşletmecisi</v>
          </cell>
          <cell r="K3532" t="str">
            <v>Bildirimsiz</v>
          </cell>
          <cell r="O3532">
            <v>18</v>
          </cell>
          <cell r="P3532">
            <v>658</v>
          </cell>
          <cell r="Q3532">
            <v>0</v>
          </cell>
          <cell r="R3532">
            <v>0</v>
          </cell>
          <cell r="S3532">
            <v>1</v>
          </cell>
          <cell r="T3532">
            <v>2</v>
          </cell>
          <cell r="U3532">
            <v>11.699999906122684</v>
          </cell>
          <cell r="V3532">
            <v>427.69999656826258</v>
          </cell>
          <cell r="W3532">
            <v>0</v>
          </cell>
          <cell r="X3532">
            <v>0</v>
          </cell>
          <cell r="Y3532">
            <v>0.64999999478459358</v>
          </cell>
          <cell r="Z3532">
            <v>1.2999999895691872</v>
          </cell>
        </row>
        <row r="3533">
          <cell r="C3533" t="str">
            <v>EDİRNE</v>
          </cell>
          <cell r="D3533" t="str">
            <v>UZUNKÖPRÜ</v>
          </cell>
          <cell r="H3533" t="str">
            <v>Dağıtım-OG</v>
          </cell>
          <cell r="I3533" t="str">
            <v>Kısa</v>
          </cell>
          <cell r="J3533" t="str">
            <v>Şebeke İşletmecisi</v>
          </cell>
          <cell r="K3533" t="str">
            <v>Bildirimsiz</v>
          </cell>
          <cell r="O3533">
            <v>0</v>
          </cell>
          <cell r="P3533">
            <v>626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  <cell r="U3533">
            <v>0</v>
          </cell>
          <cell r="V3533">
            <v>396.46666752174497</v>
          </cell>
          <cell r="W3533">
            <v>0</v>
          </cell>
          <cell r="X3533">
            <v>0</v>
          </cell>
          <cell r="Y3533">
            <v>0</v>
          </cell>
          <cell r="Z3533">
            <v>0</v>
          </cell>
        </row>
        <row r="3534">
          <cell r="C3534" t="str">
            <v>KIRKLARELİ</v>
          </cell>
          <cell r="D3534" t="str">
            <v>KIRKLARELİMERKEZ</v>
          </cell>
          <cell r="H3534" t="str">
            <v>Dağıtım-OG</v>
          </cell>
          <cell r="I3534" t="str">
            <v>Kısa</v>
          </cell>
          <cell r="J3534" t="str">
            <v>Şebeke işletmecisi</v>
          </cell>
          <cell r="K3534" t="str">
            <v>Bildirimsiz</v>
          </cell>
          <cell r="O3534">
            <v>1</v>
          </cell>
          <cell r="P3534">
            <v>41</v>
          </cell>
          <cell r="Q3534">
            <v>0</v>
          </cell>
          <cell r="R3534">
            <v>0</v>
          </cell>
          <cell r="S3534">
            <v>0</v>
          </cell>
          <cell r="T3534">
            <v>1</v>
          </cell>
          <cell r="U3534">
            <v>0.63333333469927311</v>
          </cell>
          <cell r="V3534">
            <v>25.966666722670197</v>
          </cell>
          <cell r="W3534">
            <v>0</v>
          </cell>
          <cell r="X3534">
            <v>0</v>
          </cell>
          <cell r="Y3534">
            <v>0</v>
          </cell>
          <cell r="Z3534">
            <v>0.63333333469927311</v>
          </cell>
        </row>
        <row r="3535">
          <cell r="C3535" t="str">
            <v>EDİRNE</v>
          </cell>
          <cell r="D3535" t="str">
            <v>UZUNKÖPRÜ</v>
          </cell>
          <cell r="H3535" t="str">
            <v>Dağıtım-OG</v>
          </cell>
          <cell r="I3535" t="str">
            <v>Kısa</v>
          </cell>
          <cell r="J3535" t="str">
            <v>Şebeke İşletmecisi</v>
          </cell>
          <cell r="K3535" t="str">
            <v>Bildirimsiz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28</v>
          </cell>
          <cell r="T3535">
            <v>747</v>
          </cell>
          <cell r="U3535">
            <v>0</v>
          </cell>
          <cell r="V3535">
            <v>0</v>
          </cell>
          <cell r="W3535">
            <v>0</v>
          </cell>
          <cell r="X3535">
            <v>0</v>
          </cell>
          <cell r="Y3535">
            <v>17.733333371579647</v>
          </cell>
          <cell r="Z3535">
            <v>473.10000102035701</v>
          </cell>
        </row>
        <row r="3536">
          <cell r="C3536" t="str">
            <v>KIRKLARELİ</v>
          </cell>
          <cell r="D3536" t="str">
            <v>PINARHİSAR</v>
          </cell>
          <cell r="H3536" t="str">
            <v>Dağıtım-OG</v>
          </cell>
          <cell r="I3536" t="str">
            <v>Kısa</v>
          </cell>
          <cell r="J3536" t="str">
            <v>Şebeke işletmecisi</v>
          </cell>
          <cell r="K3536" t="str">
            <v>Bildirimsiz</v>
          </cell>
          <cell r="O3536">
            <v>0</v>
          </cell>
          <cell r="P3536">
            <v>0</v>
          </cell>
          <cell r="Q3536">
            <v>0</v>
          </cell>
          <cell r="R3536">
            <v>1</v>
          </cell>
          <cell r="S3536">
            <v>0</v>
          </cell>
          <cell r="T3536">
            <v>392</v>
          </cell>
          <cell r="U3536">
            <v>0</v>
          </cell>
          <cell r="V3536">
            <v>0</v>
          </cell>
          <cell r="W3536">
            <v>0</v>
          </cell>
          <cell r="X3536">
            <v>0.63333333469927311</v>
          </cell>
          <cell r="Y3536">
            <v>0</v>
          </cell>
          <cell r="Z3536">
            <v>248.26666720211506</v>
          </cell>
        </row>
        <row r="3537">
          <cell r="C3537" t="str">
            <v>KIRKLARELİ</v>
          </cell>
          <cell r="D3537" t="str">
            <v>PINARHİSAR</v>
          </cell>
          <cell r="H3537" t="str">
            <v>Dağıtım-OG</v>
          </cell>
          <cell r="I3537" t="str">
            <v>Kısa</v>
          </cell>
          <cell r="J3537" t="str">
            <v>Şebeke İşletmecisi</v>
          </cell>
          <cell r="K3537" t="str">
            <v>Bildirimsiz</v>
          </cell>
          <cell r="O3537">
            <v>0</v>
          </cell>
          <cell r="P3537">
            <v>0</v>
          </cell>
          <cell r="Q3537">
            <v>4</v>
          </cell>
          <cell r="R3537">
            <v>1</v>
          </cell>
          <cell r="S3537">
            <v>48</v>
          </cell>
          <cell r="T3537">
            <v>2196</v>
          </cell>
          <cell r="U3537">
            <v>0</v>
          </cell>
          <cell r="V3537">
            <v>0</v>
          </cell>
          <cell r="W3537">
            <v>2.4000000162050128</v>
          </cell>
          <cell r="X3537">
            <v>0.6000000040512532</v>
          </cell>
          <cell r="Y3537">
            <v>28.800000194460154</v>
          </cell>
          <cell r="Z3537">
            <v>1317.600008896552</v>
          </cell>
        </row>
        <row r="3538">
          <cell r="C3538" t="str">
            <v>KIRKLARELİ</v>
          </cell>
          <cell r="D3538" t="str">
            <v>LÜLEBURGAZ</v>
          </cell>
          <cell r="H3538" t="str">
            <v>Dağıtım-OG</v>
          </cell>
          <cell r="I3538" t="str">
            <v>Kısa</v>
          </cell>
          <cell r="J3538" t="str">
            <v>Şebeke İşletmecisi</v>
          </cell>
          <cell r="K3538" t="str">
            <v>Bildirimsiz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761</v>
          </cell>
          <cell r="U3538">
            <v>0</v>
          </cell>
          <cell r="V3538">
            <v>0</v>
          </cell>
          <cell r="W3538">
            <v>0</v>
          </cell>
          <cell r="X3538">
            <v>0</v>
          </cell>
          <cell r="Y3538">
            <v>0</v>
          </cell>
          <cell r="Z3538">
            <v>456.60000308300368</v>
          </cell>
        </row>
        <row r="3539">
          <cell r="C3539" t="str">
            <v>EDİRNE</v>
          </cell>
          <cell r="D3539" t="str">
            <v>EDİRNEMERKEZ</v>
          </cell>
          <cell r="H3539" t="str">
            <v>Dağıtım-OG</v>
          </cell>
          <cell r="I3539" t="str">
            <v>Kısa</v>
          </cell>
          <cell r="J3539" t="str">
            <v>Şebeke İşletmecisi</v>
          </cell>
          <cell r="K3539" t="str">
            <v>Bildirimsiz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1</v>
          </cell>
          <cell r="T3539">
            <v>0</v>
          </cell>
          <cell r="U3539">
            <v>0</v>
          </cell>
          <cell r="V3539">
            <v>0</v>
          </cell>
          <cell r="W3539">
            <v>0</v>
          </cell>
          <cell r="X3539">
            <v>0</v>
          </cell>
          <cell r="Y3539">
            <v>0.6000000040512532</v>
          </cell>
          <cell r="Z3539">
            <v>0</v>
          </cell>
        </row>
        <row r="3540">
          <cell r="C3540" t="str">
            <v>EDİRNE</v>
          </cell>
          <cell r="D3540" t="str">
            <v>İPSALA</v>
          </cell>
          <cell r="H3540" t="str">
            <v>Dağıtım-OG</v>
          </cell>
          <cell r="I3540" t="str">
            <v>Kısa</v>
          </cell>
          <cell r="J3540" t="str">
            <v>Şebeke İşletmecisi</v>
          </cell>
          <cell r="K3540" t="str">
            <v>Bildirimsiz</v>
          </cell>
          <cell r="O3540">
            <v>0</v>
          </cell>
          <cell r="P3540">
            <v>0</v>
          </cell>
          <cell r="Q3540">
            <v>2</v>
          </cell>
          <cell r="R3540">
            <v>0</v>
          </cell>
          <cell r="S3540">
            <v>30</v>
          </cell>
          <cell r="T3540">
            <v>1</v>
          </cell>
          <cell r="U3540">
            <v>0</v>
          </cell>
          <cell r="V3540">
            <v>0</v>
          </cell>
          <cell r="W3540">
            <v>1.1999999871477485</v>
          </cell>
          <cell r="X3540">
            <v>0</v>
          </cell>
          <cell r="Y3540">
            <v>17.999999807216227</v>
          </cell>
          <cell r="Z3540">
            <v>0.59999999357387424</v>
          </cell>
        </row>
        <row r="3541">
          <cell r="C3541" t="str">
            <v>EDİRNE</v>
          </cell>
          <cell r="D3541" t="str">
            <v>İPSALA</v>
          </cell>
          <cell r="H3541" t="str">
            <v>Dağıtım-OG</v>
          </cell>
          <cell r="I3541" t="str">
            <v>Kısa</v>
          </cell>
          <cell r="J3541" t="str">
            <v>Şebeke İşletmecisi</v>
          </cell>
          <cell r="K3541" t="str">
            <v>Bildirimsiz</v>
          </cell>
          <cell r="O3541">
            <v>0</v>
          </cell>
          <cell r="P3541">
            <v>0</v>
          </cell>
          <cell r="Q3541">
            <v>2</v>
          </cell>
          <cell r="R3541">
            <v>0</v>
          </cell>
          <cell r="S3541">
            <v>32</v>
          </cell>
          <cell r="T3541">
            <v>1</v>
          </cell>
          <cell r="U3541">
            <v>0</v>
          </cell>
          <cell r="V3541">
            <v>0</v>
          </cell>
          <cell r="W3541">
            <v>1.1999999871477485</v>
          </cell>
          <cell r="X3541">
            <v>0</v>
          </cell>
          <cell r="Y3541">
            <v>19.199999794363976</v>
          </cell>
          <cell r="Z3541">
            <v>0.59999999357387424</v>
          </cell>
        </row>
        <row r="3542">
          <cell r="C3542" t="str">
            <v>EDİRNE</v>
          </cell>
          <cell r="D3542" t="str">
            <v>EDİRNEMERKEZ</v>
          </cell>
          <cell r="H3542" t="str">
            <v>Dağıtım-OG</v>
          </cell>
          <cell r="I3542" t="str">
            <v>Kısa</v>
          </cell>
          <cell r="J3542" t="str">
            <v>Şebeke İşletmecisi</v>
          </cell>
          <cell r="K3542" t="str">
            <v>Bildirimsiz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18</v>
          </cell>
          <cell r="U3542">
            <v>0</v>
          </cell>
          <cell r="V3542">
            <v>0</v>
          </cell>
          <cell r="W3542">
            <v>0</v>
          </cell>
          <cell r="X3542">
            <v>0</v>
          </cell>
          <cell r="Y3542">
            <v>0</v>
          </cell>
          <cell r="Z3542">
            <v>10.799999884329736</v>
          </cell>
        </row>
        <row r="3543">
          <cell r="C3543" t="str">
            <v>KIRKLARELİ</v>
          </cell>
          <cell r="D3543" t="str">
            <v>KIRKLARELİMERKEZ</v>
          </cell>
          <cell r="H3543" t="str">
            <v>Dağıtım-OG</v>
          </cell>
          <cell r="I3543" t="str">
            <v>Kısa</v>
          </cell>
          <cell r="J3543" t="str">
            <v>Şebeke İşletmecisi</v>
          </cell>
          <cell r="K3543" t="str">
            <v>Bildirimsiz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2</v>
          </cell>
          <cell r="T3543">
            <v>247</v>
          </cell>
          <cell r="U3543">
            <v>0</v>
          </cell>
          <cell r="V3543">
            <v>0</v>
          </cell>
          <cell r="W3543">
            <v>0</v>
          </cell>
          <cell r="X3543">
            <v>0</v>
          </cell>
          <cell r="Y3543">
            <v>1.1999999871477485</v>
          </cell>
          <cell r="Z3543">
            <v>148.19999841274694</v>
          </cell>
        </row>
        <row r="3544">
          <cell r="C3544" t="str">
            <v>TEKİRDAĞ</v>
          </cell>
          <cell r="D3544" t="str">
            <v>MARMARAEREĞLİSİ</v>
          </cell>
          <cell r="H3544" t="str">
            <v>Dağıtım-AG</v>
          </cell>
          <cell r="I3544" t="str">
            <v>Kısa</v>
          </cell>
          <cell r="J3544" t="str">
            <v>Şebeke işletmecisi</v>
          </cell>
          <cell r="K3544" t="str">
            <v>Bildirimsiz</v>
          </cell>
          <cell r="O3544">
            <v>0</v>
          </cell>
          <cell r="P3544">
            <v>0</v>
          </cell>
          <cell r="Q3544">
            <v>0</v>
          </cell>
          <cell r="R3544">
            <v>54</v>
          </cell>
          <cell r="S3544">
            <v>0</v>
          </cell>
          <cell r="T3544">
            <v>0</v>
          </cell>
          <cell r="U3544">
            <v>0</v>
          </cell>
          <cell r="V3544">
            <v>0</v>
          </cell>
          <cell r="W3544">
            <v>0</v>
          </cell>
          <cell r="X3544">
            <v>31.500000008381903</v>
          </cell>
          <cell r="Y3544">
            <v>0</v>
          </cell>
          <cell r="Z3544">
            <v>0</v>
          </cell>
        </row>
        <row r="3545">
          <cell r="C3545" t="str">
            <v>EDİRNE</v>
          </cell>
          <cell r="D3545" t="str">
            <v>EDİRNEMERKEZ</v>
          </cell>
          <cell r="H3545" t="str">
            <v>Dağıtım-OG</v>
          </cell>
          <cell r="I3545" t="str">
            <v>Kısa</v>
          </cell>
          <cell r="J3545" t="str">
            <v>Şebeke İşletmecisi</v>
          </cell>
          <cell r="K3545" t="str">
            <v>Bildirimsiz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18</v>
          </cell>
          <cell r="U3545">
            <v>0</v>
          </cell>
          <cell r="V3545">
            <v>0</v>
          </cell>
          <cell r="W3545">
            <v>0</v>
          </cell>
          <cell r="X3545">
            <v>0</v>
          </cell>
          <cell r="Y3545">
            <v>0</v>
          </cell>
          <cell r="Z3545">
            <v>10.500000002793968</v>
          </cell>
        </row>
        <row r="3546">
          <cell r="C3546" t="str">
            <v>EDİRNE</v>
          </cell>
          <cell r="D3546" t="str">
            <v>EDİRNEMERKEZ</v>
          </cell>
          <cell r="H3546" t="str">
            <v>Dağıtım-OG</v>
          </cell>
          <cell r="I3546" t="str">
            <v>Kısa</v>
          </cell>
          <cell r="J3546" t="str">
            <v>Şebeke İşletmecisi</v>
          </cell>
          <cell r="K3546" t="str">
            <v>Bildirimsiz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18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>
            <v>0</v>
          </cell>
          <cell r="Z3546">
            <v>10.500000002793968</v>
          </cell>
        </row>
        <row r="3547">
          <cell r="C3547" t="str">
            <v>KIRKLARELİ</v>
          </cell>
          <cell r="D3547" t="str">
            <v>LÜLEBURGAZ</v>
          </cell>
          <cell r="H3547" t="str">
            <v>Dağıtım-AG</v>
          </cell>
          <cell r="I3547" t="str">
            <v>Kısa</v>
          </cell>
          <cell r="J3547" t="str">
            <v>Şebeke işletmecisi</v>
          </cell>
          <cell r="K3547" t="str">
            <v>Bildirimsiz</v>
          </cell>
          <cell r="O3547">
            <v>0</v>
          </cell>
          <cell r="P3547">
            <v>0</v>
          </cell>
          <cell r="Q3547">
            <v>0</v>
          </cell>
          <cell r="R3547">
            <v>71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41.416666677687317</v>
          </cell>
          <cell r="Y3547">
            <v>0</v>
          </cell>
          <cell r="Z3547">
            <v>0</v>
          </cell>
        </row>
        <row r="3548">
          <cell r="C3548" t="str">
            <v>EDİRNE</v>
          </cell>
          <cell r="D3548" t="str">
            <v>EDİRNEMERKEZ</v>
          </cell>
          <cell r="H3548" t="str">
            <v>Dağıtım-OG</v>
          </cell>
          <cell r="I3548" t="str">
            <v>Kısa</v>
          </cell>
          <cell r="J3548" t="str">
            <v>Şebeke İşletmecisi</v>
          </cell>
          <cell r="K3548" t="str">
            <v>Bildirimsiz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18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>
            <v>0</v>
          </cell>
          <cell r="Z3548">
            <v>10.199999932665378</v>
          </cell>
        </row>
        <row r="3549">
          <cell r="C3549" t="str">
            <v>KIRKLARELİ</v>
          </cell>
          <cell r="D3549" t="str">
            <v>KOFÇAZ</v>
          </cell>
          <cell r="H3549" t="str">
            <v>Dağıtım-OG</v>
          </cell>
          <cell r="I3549" t="str">
            <v>Kısa</v>
          </cell>
          <cell r="J3549" t="str">
            <v>Şebeke İşletmecisi</v>
          </cell>
          <cell r="K3549" t="str">
            <v>Bildirimsiz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61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>
            <v>0</v>
          </cell>
          <cell r="Z3549">
            <v>33.549999534152448</v>
          </cell>
        </row>
        <row r="3550">
          <cell r="C3550" t="str">
            <v>KIRKLARELİ</v>
          </cell>
          <cell r="D3550" t="str">
            <v>BABAESKİ</v>
          </cell>
          <cell r="H3550" t="str">
            <v>Dağıtım-AG</v>
          </cell>
          <cell r="I3550" t="str">
            <v>Kısa</v>
          </cell>
          <cell r="J3550" t="str">
            <v>Şebeke işletmecisi</v>
          </cell>
          <cell r="K3550" t="str">
            <v>Bildirimsiz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41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>
            <v>0</v>
          </cell>
          <cell r="Z3550">
            <v>21.866667052963749</v>
          </cell>
        </row>
        <row r="3551">
          <cell r="C3551" t="str">
            <v>TEKİRDAĞ</v>
          </cell>
          <cell r="D3551" t="str">
            <v>SÜLEYMANPAŞA</v>
          </cell>
          <cell r="H3551" t="str">
            <v>Dağıtım-OG</v>
          </cell>
          <cell r="I3551" t="str">
            <v>Kısa</v>
          </cell>
          <cell r="J3551" t="str">
            <v>Şebeke İşletmecisi</v>
          </cell>
          <cell r="K3551" t="str">
            <v>Bildirimsiz</v>
          </cell>
          <cell r="O3551">
            <v>14</v>
          </cell>
          <cell r="P3551">
            <v>344</v>
          </cell>
          <cell r="Q3551">
            <v>2</v>
          </cell>
          <cell r="R3551">
            <v>0</v>
          </cell>
          <cell r="S3551">
            <v>1</v>
          </cell>
          <cell r="T3551">
            <v>0</v>
          </cell>
          <cell r="U3551">
            <v>7.4666666518896818</v>
          </cell>
          <cell r="V3551">
            <v>183.46666630357504</v>
          </cell>
          <cell r="W3551">
            <v>1.0666666645556688</v>
          </cell>
          <cell r="X3551">
            <v>0</v>
          </cell>
          <cell r="Y3551">
            <v>0.53333333227783442</v>
          </cell>
          <cell r="Z3551">
            <v>0</v>
          </cell>
        </row>
        <row r="3552">
          <cell r="C3552" t="str">
            <v>TEKİRDAĞ</v>
          </cell>
          <cell r="D3552" t="str">
            <v>HAYRABOLU</v>
          </cell>
          <cell r="H3552" t="str">
            <v>Dağıtım-OG</v>
          </cell>
          <cell r="I3552" t="str">
            <v>Kısa</v>
          </cell>
          <cell r="J3552" t="str">
            <v>Şebeke İşletmecisi</v>
          </cell>
          <cell r="K3552" t="str">
            <v>Bildirimsiz</v>
          </cell>
          <cell r="O3552">
            <v>0</v>
          </cell>
          <cell r="P3552">
            <v>0</v>
          </cell>
          <cell r="Q3552">
            <v>3</v>
          </cell>
          <cell r="R3552">
            <v>1</v>
          </cell>
          <cell r="S3552">
            <v>7</v>
          </cell>
          <cell r="T3552">
            <v>948</v>
          </cell>
          <cell r="U3552">
            <v>0</v>
          </cell>
          <cell r="V3552">
            <v>0</v>
          </cell>
          <cell r="W3552">
            <v>1.5999999968335032</v>
          </cell>
          <cell r="X3552">
            <v>0.53333333227783442</v>
          </cell>
          <cell r="Y3552">
            <v>3.7333333259448409</v>
          </cell>
          <cell r="Z3552">
            <v>505.59999899938703</v>
          </cell>
        </row>
        <row r="3553">
          <cell r="C3553" t="str">
            <v>KIRKLARELİ</v>
          </cell>
          <cell r="D3553" t="str">
            <v>LÜLEBURGAZ</v>
          </cell>
          <cell r="H3553" t="str">
            <v>Dağıtım-OG</v>
          </cell>
          <cell r="I3553" t="str">
            <v>Kısa</v>
          </cell>
          <cell r="J3553" t="str">
            <v>Şebeke İşletmecisi</v>
          </cell>
          <cell r="K3553" t="str">
            <v>Bildirimsiz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8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>
            <v>4.2666666582226753</v>
          </cell>
          <cell r="Z3553">
            <v>0</v>
          </cell>
        </row>
        <row r="3554">
          <cell r="C3554" t="str">
            <v>EDİRNE</v>
          </cell>
          <cell r="D3554" t="str">
            <v>ENEZ</v>
          </cell>
          <cell r="H3554" t="str">
            <v>Dağıtım-OG</v>
          </cell>
          <cell r="I3554" t="str">
            <v>Kısa</v>
          </cell>
          <cell r="J3554" t="str">
            <v>Şebeke İşletmecisi</v>
          </cell>
          <cell r="K3554" t="str">
            <v>Bildirimsiz</v>
          </cell>
          <cell r="O3554">
            <v>0</v>
          </cell>
          <cell r="P3554">
            <v>0</v>
          </cell>
          <cell r="Q3554">
            <v>15</v>
          </cell>
          <cell r="R3554">
            <v>0</v>
          </cell>
          <cell r="S3554">
            <v>3</v>
          </cell>
          <cell r="T3554">
            <v>0</v>
          </cell>
          <cell r="U3554">
            <v>0</v>
          </cell>
          <cell r="V3554">
            <v>0</v>
          </cell>
          <cell r="W3554">
            <v>7.9999999841675162</v>
          </cell>
          <cell r="X3554">
            <v>0</v>
          </cell>
          <cell r="Y3554">
            <v>1.5999999968335032</v>
          </cell>
          <cell r="Z3554">
            <v>0</v>
          </cell>
        </row>
        <row r="3555">
          <cell r="C3555" t="str">
            <v>KIRKLARELİ</v>
          </cell>
          <cell r="D3555" t="str">
            <v>LÜLEBURGAZ</v>
          </cell>
          <cell r="H3555" t="str">
            <v>Dağıtım-OG</v>
          </cell>
          <cell r="I3555" t="str">
            <v>Kısa</v>
          </cell>
          <cell r="J3555" t="str">
            <v>Şebeke İşletmecisi</v>
          </cell>
          <cell r="K3555" t="str">
            <v>Bildirimsiz</v>
          </cell>
          <cell r="O3555">
            <v>0</v>
          </cell>
          <cell r="P3555">
            <v>1</v>
          </cell>
          <cell r="Q3555">
            <v>3</v>
          </cell>
          <cell r="R3555">
            <v>1555</v>
          </cell>
          <cell r="S3555">
            <v>0</v>
          </cell>
          <cell r="T3555">
            <v>0</v>
          </cell>
          <cell r="U3555">
            <v>0</v>
          </cell>
          <cell r="V3555">
            <v>0.53333333227783442</v>
          </cell>
          <cell r="W3555">
            <v>1.5999999968335032</v>
          </cell>
          <cell r="X3555">
            <v>829.33333169203252</v>
          </cell>
          <cell r="Y3555">
            <v>0</v>
          </cell>
          <cell r="Z3555">
            <v>0</v>
          </cell>
        </row>
        <row r="3556">
          <cell r="C3556" t="str">
            <v>EDİRNE</v>
          </cell>
          <cell r="D3556" t="str">
            <v>EDİRNEMERKEZ</v>
          </cell>
          <cell r="H3556" t="str">
            <v>Dağıtım-OG</v>
          </cell>
          <cell r="I3556" t="str">
            <v>Kısa</v>
          </cell>
          <cell r="J3556" t="str">
            <v>Şebeke İşletmecisi</v>
          </cell>
          <cell r="K3556" t="str">
            <v>Bildirimsiz</v>
          </cell>
          <cell r="O3556">
            <v>2</v>
          </cell>
          <cell r="P3556">
            <v>0</v>
          </cell>
          <cell r="Q3556">
            <v>0</v>
          </cell>
          <cell r="R3556">
            <v>0</v>
          </cell>
          <cell r="S3556">
            <v>15</v>
          </cell>
          <cell r="T3556">
            <v>0</v>
          </cell>
          <cell r="U3556">
            <v>1.0333333443850279</v>
          </cell>
          <cell r="V3556">
            <v>0</v>
          </cell>
          <cell r="W3556">
            <v>0</v>
          </cell>
          <cell r="X3556">
            <v>0</v>
          </cell>
          <cell r="Y3556">
            <v>7.7500000828877091</v>
          </cell>
          <cell r="Z3556">
            <v>0</v>
          </cell>
        </row>
        <row r="3557">
          <cell r="C3557" t="str">
            <v>KIRKLARELİ</v>
          </cell>
          <cell r="D3557" t="str">
            <v>PINARHİSAR</v>
          </cell>
          <cell r="H3557" t="str">
            <v>Dağıtım-OG</v>
          </cell>
          <cell r="I3557" t="str">
            <v>Kısa</v>
          </cell>
          <cell r="J3557" t="str">
            <v>Şebeke İşletmecisi</v>
          </cell>
          <cell r="K3557" t="str">
            <v>Bildirimsiz</v>
          </cell>
          <cell r="O3557">
            <v>0</v>
          </cell>
          <cell r="P3557">
            <v>0</v>
          </cell>
          <cell r="Q3557">
            <v>4</v>
          </cell>
          <cell r="R3557">
            <v>1</v>
          </cell>
          <cell r="S3557">
            <v>48</v>
          </cell>
          <cell r="T3557">
            <v>2196</v>
          </cell>
          <cell r="U3557">
            <v>0</v>
          </cell>
          <cell r="V3557">
            <v>0</v>
          </cell>
          <cell r="W3557">
            <v>2.0666666468605399</v>
          </cell>
          <cell r="X3557">
            <v>0.51666666171513498</v>
          </cell>
          <cell r="Y3557">
            <v>24.799999762326479</v>
          </cell>
          <cell r="Z3557">
            <v>1134.5999891264364</v>
          </cell>
        </row>
        <row r="3558">
          <cell r="C3558" t="str">
            <v>EDİRNE</v>
          </cell>
          <cell r="D3558" t="str">
            <v>İPSALA</v>
          </cell>
          <cell r="H3558" t="str">
            <v>Dağıtım-OG</v>
          </cell>
          <cell r="I3558" t="str">
            <v>Kısa</v>
          </cell>
          <cell r="J3558" t="str">
            <v>Şebeke İşletmecisi</v>
          </cell>
          <cell r="K3558" t="str">
            <v>Bildirimsiz</v>
          </cell>
          <cell r="O3558">
            <v>0</v>
          </cell>
          <cell r="P3558">
            <v>0</v>
          </cell>
          <cell r="Q3558">
            <v>1</v>
          </cell>
          <cell r="R3558">
            <v>0</v>
          </cell>
          <cell r="S3558">
            <v>12</v>
          </cell>
          <cell r="T3558">
            <v>0</v>
          </cell>
          <cell r="U3558">
            <v>0</v>
          </cell>
          <cell r="V3558">
            <v>0</v>
          </cell>
          <cell r="W3558">
            <v>0.51666666171513498</v>
          </cell>
          <cell r="X3558">
            <v>0</v>
          </cell>
          <cell r="Y3558">
            <v>6.1999999405816197</v>
          </cell>
          <cell r="Z3558">
            <v>0</v>
          </cell>
        </row>
        <row r="3559">
          <cell r="C3559" t="str">
            <v>KIRKLARELİ</v>
          </cell>
          <cell r="D3559" t="str">
            <v>KIRKLARELİMERKEZ</v>
          </cell>
          <cell r="H3559" t="str">
            <v>Dağıtım-OG</v>
          </cell>
          <cell r="I3559" t="str">
            <v>Kısa</v>
          </cell>
          <cell r="J3559" t="str">
            <v>Şebeke İşletmecisi</v>
          </cell>
          <cell r="K3559" t="str">
            <v>Bildirimsiz</v>
          </cell>
          <cell r="O3559">
            <v>1</v>
          </cell>
          <cell r="P3559">
            <v>0</v>
          </cell>
          <cell r="Q3559">
            <v>0</v>
          </cell>
          <cell r="R3559">
            <v>0</v>
          </cell>
          <cell r="S3559">
            <v>9</v>
          </cell>
          <cell r="T3559">
            <v>265</v>
          </cell>
          <cell r="U3559">
            <v>0.51666666171513498</v>
          </cell>
          <cell r="V3559">
            <v>0</v>
          </cell>
          <cell r="W3559">
            <v>0</v>
          </cell>
          <cell r="X3559">
            <v>0</v>
          </cell>
          <cell r="Y3559">
            <v>4.6499999554362148</v>
          </cell>
          <cell r="Z3559">
            <v>136.91666535451077</v>
          </cell>
        </row>
        <row r="3560">
          <cell r="C3560" t="str">
            <v>KIRKLARELİ</v>
          </cell>
          <cell r="D3560" t="str">
            <v>LÜLEBURGAZ</v>
          </cell>
          <cell r="H3560" t="str">
            <v>Dağıtım-OG</v>
          </cell>
          <cell r="I3560" t="str">
            <v>Kısa</v>
          </cell>
          <cell r="J3560" t="str">
            <v>Şebeke İşletmecisi</v>
          </cell>
          <cell r="K3560" t="str">
            <v>Bildirimsiz</v>
          </cell>
          <cell r="O3560">
            <v>2</v>
          </cell>
          <cell r="P3560">
            <v>3</v>
          </cell>
          <cell r="Q3560">
            <v>0</v>
          </cell>
          <cell r="R3560">
            <v>0</v>
          </cell>
          <cell r="S3560">
            <v>66</v>
          </cell>
          <cell r="T3560">
            <v>4362</v>
          </cell>
          <cell r="U3560">
            <v>1.03333332343027</v>
          </cell>
          <cell r="V3560">
            <v>1.5499999851454049</v>
          </cell>
          <cell r="W3560">
            <v>0</v>
          </cell>
          <cell r="X3560">
            <v>0</v>
          </cell>
          <cell r="Y3560">
            <v>34.099999673198909</v>
          </cell>
          <cell r="Z3560">
            <v>2253.6999784014188</v>
          </cell>
        </row>
        <row r="3561">
          <cell r="C3561" t="str">
            <v>KIRKLARELİ</v>
          </cell>
          <cell r="D3561" t="str">
            <v>PINARHİSAR</v>
          </cell>
          <cell r="H3561" t="str">
            <v>Dağıtım-OG</v>
          </cell>
          <cell r="I3561" t="str">
            <v>Kısa</v>
          </cell>
          <cell r="J3561" t="str">
            <v>Şebeke İşletmecisi</v>
          </cell>
          <cell r="K3561" t="str">
            <v>Bildirimsiz</v>
          </cell>
          <cell r="O3561">
            <v>0</v>
          </cell>
          <cell r="P3561">
            <v>0</v>
          </cell>
          <cell r="Q3561">
            <v>0</v>
          </cell>
          <cell r="R3561">
            <v>1</v>
          </cell>
          <cell r="S3561">
            <v>0</v>
          </cell>
          <cell r="T3561">
            <v>392</v>
          </cell>
          <cell r="U3561">
            <v>0</v>
          </cell>
          <cell r="V3561">
            <v>0</v>
          </cell>
          <cell r="W3561">
            <v>0</v>
          </cell>
          <cell r="X3561">
            <v>0.51666666171513498</v>
          </cell>
          <cell r="Y3561">
            <v>0</v>
          </cell>
          <cell r="Z3561">
            <v>202.53333139233291</v>
          </cell>
        </row>
        <row r="3562">
          <cell r="C3562" t="str">
            <v>EDİRNE</v>
          </cell>
          <cell r="D3562" t="str">
            <v>İPSALA</v>
          </cell>
          <cell r="H3562" t="str">
            <v>Dağıtım-OG</v>
          </cell>
          <cell r="I3562" t="str">
            <v>Kısa</v>
          </cell>
          <cell r="J3562" t="str">
            <v>Şebeke İşletmecisi</v>
          </cell>
          <cell r="K3562" t="str">
            <v>Bildirimsiz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3</v>
          </cell>
          <cell r="T3562">
            <v>258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>
            <v>1.5499999851454049</v>
          </cell>
          <cell r="Z3562">
            <v>133.29999872250482</v>
          </cell>
        </row>
        <row r="3563">
          <cell r="C3563" t="str">
            <v>KIRKLARELİ</v>
          </cell>
          <cell r="D3563" t="str">
            <v>KIRKLARELİMERKEZ</v>
          </cell>
          <cell r="H3563" t="str">
            <v>Dağıtım-OG</v>
          </cell>
          <cell r="I3563" t="str">
            <v>Kısa</v>
          </cell>
          <cell r="J3563" t="str">
            <v>Şebeke İşletmecisi</v>
          </cell>
          <cell r="K3563" t="str">
            <v>Bildirimsiz</v>
          </cell>
          <cell r="O3563">
            <v>1</v>
          </cell>
          <cell r="P3563">
            <v>4562</v>
          </cell>
          <cell r="Q3563">
            <v>0</v>
          </cell>
          <cell r="R3563">
            <v>4</v>
          </cell>
          <cell r="S3563">
            <v>0</v>
          </cell>
          <cell r="T3563">
            <v>9</v>
          </cell>
          <cell r="U3563">
            <v>0.50000000162981451</v>
          </cell>
          <cell r="V3563">
            <v>2281.0000074352138</v>
          </cell>
          <cell r="W3563">
            <v>0</v>
          </cell>
          <cell r="X3563">
            <v>2.000000006519258</v>
          </cell>
          <cell r="Y3563">
            <v>0</v>
          </cell>
          <cell r="Z3563">
            <v>4.5000000146683306</v>
          </cell>
        </row>
        <row r="3564">
          <cell r="C3564" t="str">
            <v>KIRKLARELİ</v>
          </cell>
          <cell r="D3564" t="str">
            <v>LÜLEBURGAZ</v>
          </cell>
          <cell r="H3564" t="str">
            <v>Dağıtım-OG</v>
          </cell>
          <cell r="I3564" t="str">
            <v>Kısa</v>
          </cell>
          <cell r="J3564" t="str">
            <v>Şebeke İşletmecisi</v>
          </cell>
          <cell r="K3564" t="str">
            <v>Bildirimsiz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18</v>
          </cell>
          <cell r="T3564">
            <v>0</v>
          </cell>
          <cell r="U3564">
            <v>0</v>
          </cell>
          <cell r="V3564">
            <v>0</v>
          </cell>
          <cell r="W3564">
            <v>0</v>
          </cell>
          <cell r="X3564">
            <v>0</v>
          </cell>
          <cell r="Y3564">
            <v>9.0000000293366611</v>
          </cell>
          <cell r="Z3564">
            <v>0</v>
          </cell>
        </row>
        <row r="3565">
          <cell r="C3565" t="str">
            <v>EDİRNE</v>
          </cell>
          <cell r="D3565" t="str">
            <v>İPSALA</v>
          </cell>
          <cell r="H3565" t="str">
            <v>Dağıtım-OG</v>
          </cell>
          <cell r="I3565" t="str">
            <v>Kısa</v>
          </cell>
          <cell r="J3565" t="str">
            <v>Şebeke İşletmecisi</v>
          </cell>
          <cell r="K3565" t="str">
            <v>Bildirimsiz</v>
          </cell>
          <cell r="O3565">
            <v>0</v>
          </cell>
          <cell r="P3565">
            <v>0</v>
          </cell>
          <cell r="Q3565">
            <v>1</v>
          </cell>
          <cell r="R3565">
            <v>0</v>
          </cell>
          <cell r="S3565">
            <v>13</v>
          </cell>
          <cell r="T3565">
            <v>0</v>
          </cell>
          <cell r="U3565">
            <v>0</v>
          </cell>
          <cell r="V3565">
            <v>0</v>
          </cell>
          <cell r="W3565">
            <v>0.50000000162981451</v>
          </cell>
          <cell r="X3565">
            <v>0</v>
          </cell>
          <cell r="Y3565">
            <v>6.5000000211875886</v>
          </cell>
          <cell r="Z3565">
            <v>0</v>
          </cell>
        </row>
        <row r="3566">
          <cell r="C3566" t="str">
            <v>KIRKLARELİ</v>
          </cell>
          <cell r="D3566" t="str">
            <v>KIRKLARELİMERKEZ</v>
          </cell>
          <cell r="H3566" t="str">
            <v>Dağıtım-OG</v>
          </cell>
          <cell r="I3566" t="str">
            <v>Kısa</v>
          </cell>
          <cell r="J3566" t="str">
            <v>Şebeke İşletmecisi</v>
          </cell>
          <cell r="K3566" t="str">
            <v>Bildirimsiz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2</v>
          </cell>
          <cell r="T3566">
            <v>248</v>
          </cell>
          <cell r="U3566">
            <v>0</v>
          </cell>
          <cell r="V3566">
            <v>0</v>
          </cell>
          <cell r="W3566">
            <v>0</v>
          </cell>
          <cell r="X3566">
            <v>0</v>
          </cell>
          <cell r="Y3566">
            <v>1.000000003259629</v>
          </cell>
          <cell r="Z3566">
            <v>124.000000404194</v>
          </cell>
        </row>
        <row r="3567">
          <cell r="C3567" t="str">
            <v>KIRKLARELİ</v>
          </cell>
          <cell r="D3567" t="str">
            <v>KIRKLARELİMERKEZ</v>
          </cell>
          <cell r="H3567" t="str">
            <v>Dağıtım-OG</v>
          </cell>
          <cell r="I3567" t="str">
            <v>Kısa</v>
          </cell>
          <cell r="J3567" t="str">
            <v>Şebeke İşletmecisi</v>
          </cell>
          <cell r="K3567" t="str">
            <v>Bildirimsiz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7</v>
          </cell>
          <cell r="T3567">
            <v>530</v>
          </cell>
          <cell r="U3567">
            <v>0</v>
          </cell>
          <cell r="V3567">
            <v>0</v>
          </cell>
          <cell r="W3567">
            <v>0</v>
          </cell>
          <cell r="X3567">
            <v>0</v>
          </cell>
          <cell r="Y3567">
            <v>3.5000000114087015</v>
          </cell>
          <cell r="Z3567">
            <v>265.00000086380169</v>
          </cell>
        </row>
        <row r="3568">
          <cell r="C3568" t="str">
            <v>KIRKLARELİ</v>
          </cell>
          <cell r="D3568" t="str">
            <v>KIRKLARELİMERKEZ</v>
          </cell>
          <cell r="H3568" t="str">
            <v>Dağıtım-OG</v>
          </cell>
          <cell r="I3568" t="str">
            <v>Kısa</v>
          </cell>
          <cell r="J3568" t="str">
            <v>Şebeke İşletmecisi</v>
          </cell>
          <cell r="K3568" t="str">
            <v>Bildirimsiz</v>
          </cell>
          <cell r="O3568">
            <v>1</v>
          </cell>
          <cell r="P3568">
            <v>0</v>
          </cell>
          <cell r="Q3568">
            <v>0</v>
          </cell>
          <cell r="R3568">
            <v>0</v>
          </cell>
          <cell r="S3568">
            <v>19</v>
          </cell>
          <cell r="T3568">
            <v>1107</v>
          </cell>
          <cell r="U3568">
            <v>0.50000000162981451</v>
          </cell>
          <cell r="V3568">
            <v>0</v>
          </cell>
          <cell r="W3568">
            <v>0</v>
          </cell>
          <cell r="X3568">
            <v>0</v>
          </cell>
          <cell r="Y3568">
            <v>9.5000000309664756</v>
          </cell>
          <cell r="Z3568">
            <v>553.50000180420466</v>
          </cell>
        </row>
        <row r="3569">
          <cell r="C3569" t="str">
            <v>EDİRNE</v>
          </cell>
          <cell r="D3569" t="str">
            <v>İPSALA</v>
          </cell>
          <cell r="H3569" t="str">
            <v>Dağıtım-OG</v>
          </cell>
          <cell r="I3569" t="str">
            <v>Kısa</v>
          </cell>
          <cell r="J3569" t="str">
            <v>Şebeke İşletmecisi</v>
          </cell>
          <cell r="K3569" t="str">
            <v>Bildirimsiz</v>
          </cell>
          <cell r="O3569">
            <v>0</v>
          </cell>
          <cell r="P3569">
            <v>0</v>
          </cell>
          <cell r="Q3569">
            <v>9</v>
          </cell>
          <cell r="R3569">
            <v>0</v>
          </cell>
          <cell r="S3569">
            <v>50</v>
          </cell>
          <cell r="T3569">
            <v>0</v>
          </cell>
          <cell r="U3569">
            <v>0</v>
          </cell>
          <cell r="V3569">
            <v>0</v>
          </cell>
          <cell r="W3569">
            <v>4.5000000146683306</v>
          </cell>
          <cell r="X3569">
            <v>0</v>
          </cell>
          <cell r="Y3569">
            <v>25.000000081490725</v>
          </cell>
          <cell r="Z3569">
            <v>0</v>
          </cell>
        </row>
        <row r="3570">
          <cell r="C3570" t="str">
            <v>EDİRNE</v>
          </cell>
          <cell r="D3570" t="str">
            <v>KEŞAN</v>
          </cell>
          <cell r="H3570" t="str">
            <v>Dağıtım-OG</v>
          </cell>
          <cell r="I3570" t="str">
            <v>Kısa</v>
          </cell>
          <cell r="J3570" t="str">
            <v>Şebeke İşletmecisi</v>
          </cell>
          <cell r="K3570" t="str">
            <v>Bildirimsiz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2</v>
          </cell>
          <cell r="T3570">
            <v>902</v>
          </cell>
          <cell r="U3570">
            <v>0</v>
          </cell>
          <cell r="V3570">
            <v>0</v>
          </cell>
          <cell r="W3570">
            <v>0</v>
          </cell>
          <cell r="X3570">
            <v>0</v>
          </cell>
          <cell r="Y3570">
            <v>0.99999998230487108</v>
          </cell>
          <cell r="Z3570">
            <v>450.99999201949686</v>
          </cell>
        </row>
        <row r="3571">
          <cell r="C3571" t="str">
            <v>KIRKLARELİ</v>
          </cell>
          <cell r="D3571" t="str">
            <v>KIRKLARELİMERKEZ</v>
          </cell>
          <cell r="H3571" t="str">
            <v>Dağıtım-OG</v>
          </cell>
          <cell r="I3571" t="str">
            <v>Kısa</v>
          </cell>
          <cell r="J3571" t="str">
            <v>Şebeke İşletmecisi</v>
          </cell>
          <cell r="K3571" t="str">
            <v>Bildirimsiz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7</v>
          </cell>
          <cell r="T3571">
            <v>530</v>
          </cell>
          <cell r="U3571">
            <v>0</v>
          </cell>
          <cell r="V3571">
            <v>0</v>
          </cell>
          <cell r="W3571">
            <v>0</v>
          </cell>
          <cell r="X3571">
            <v>0</v>
          </cell>
          <cell r="Y3571">
            <v>3.3833333908114582</v>
          </cell>
          <cell r="Z3571">
            <v>256.16667101858184</v>
          </cell>
        </row>
        <row r="3572">
          <cell r="C3572" t="str">
            <v>KIRKLARELİ</v>
          </cell>
          <cell r="D3572" t="str">
            <v>KIRKLARELİMERKEZ</v>
          </cell>
          <cell r="H3572" t="str">
            <v>Dağıtım-OG</v>
          </cell>
          <cell r="I3572" t="str">
            <v>Kısa</v>
          </cell>
          <cell r="J3572" t="str">
            <v>Şebeke İşletmecisi</v>
          </cell>
          <cell r="K3572" t="str">
            <v>Bildirimsiz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2</v>
          </cell>
          <cell r="T3572">
            <v>0</v>
          </cell>
          <cell r="U3572">
            <v>0</v>
          </cell>
          <cell r="V3572">
            <v>0</v>
          </cell>
          <cell r="W3572">
            <v>0</v>
          </cell>
          <cell r="X3572">
            <v>0</v>
          </cell>
          <cell r="Y3572">
            <v>0.96666668308898807</v>
          </cell>
          <cell r="Z3572">
            <v>0</v>
          </cell>
        </row>
        <row r="3573">
          <cell r="C3573" t="str">
            <v>KIRKLARELİ</v>
          </cell>
          <cell r="D3573" t="str">
            <v>KIRKLARELİMERKEZ</v>
          </cell>
          <cell r="H3573" t="str">
            <v>Dağıtım-OG</v>
          </cell>
          <cell r="I3573" t="str">
            <v>Kısa</v>
          </cell>
          <cell r="J3573" t="str">
            <v>Şebeke İşletmecisi</v>
          </cell>
          <cell r="K3573" t="str">
            <v>Bildirimsiz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2</v>
          </cell>
          <cell r="T3573">
            <v>247</v>
          </cell>
          <cell r="U3573">
            <v>0</v>
          </cell>
          <cell r="V3573">
            <v>0</v>
          </cell>
          <cell r="W3573">
            <v>0</v>
          </cell>
          <cell r="X3573">
            <v>0</v>
          </cell>
          <cell r="Y3573">
            <v>0.96666668308898807</v>
          </cell>
          <cell r="Z3573">
            <v>119.38333536149003</v>
          </cell>
        </row>
        <row r="3574">
          <cell r="C3574" t="str">
            <v>EDİRNE</v>
          </cell>
          <cell r="D3574" t="str">
            <v>KEŞAN</v>
          </cell>
          <cell r="H3574" t="str">
            <v>Dağıtım-OG</v>
          </cell>
          <cell r="I3574" t="str">
            <v>Kısa</v>
          </cell>
          <cell r="J3574" t="str">
            <v>Şebeke İşletmecisi</v>
          </cell>
          <cell r="K3574" t="str">
            <v>Bildirimsiz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4</v>
          </cell>
          <cell r="T3574">
            <v>449</v>
          </cell>
          <cell r="U3574">
            <v>0</v>
          </cell>
          <cell r="V3574">
            <v>0</v>
          </cell>
          <cell r="W3574">
            <v>0</v>
          </cell>
          <cell r="X3574">
            <v>0</v>
          </cell>
          <cell r="Y3574">
            <v>1.9333333242684603</v>
          </cell>
          <cell r="Z3574">
            <v>217.01666564913467</v>
          </cell>
        </row>
        <row r="3575">
          <cell r="C3575" t="str">
            <v>KIRKLARELİ</v>
          </cell>
          <cell r="D3575" t="str">
            <v>KIRKLARELİMERKEZ</v>
          </cell>
          <cell r="H3575" t="str">
            <v>Dağıtım-OG</v>
          </cell>
          <cell r="I3575" t="str">
            <v>Kısa</v>
          </cell>
          <cell r="J3575" t="str">
            <v>Şebeke İşletmecisi</v>
          </cell>
          <cell r="K3575" t="str">
            <v>Bildirimsiz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7</v>
          </cell>
          <cell r="T3575">
            <v>530</v>
          </cell>
          <cell r="U3575">
            <v>0</v>
          </cell>
          <cell r="V3575">
            <v>0</v>
          </cell>
          <cell r="W3575">
            <v>0</v>
          </cell>
          <cell r="X3575">
            <v>0</v>
          </cell>
          <cell r="Y3575">
            <v>3.3833333174698055</v>
          </cell>
          <cell r="Z3575">
            <v>256.16666546557099</v>
          </cell>
        </row>
        <row r="3576">
          <cell r="C3576" t="str">
            <v>TEKİRDAĞ</v>
          </cell>
          <cell r="D3576" t="str">
            <v>SÜLEYMANPAŞA</v>
          </cell>
          <cell r="H3576" t="str">
            <v>Dağıtım-OG</v>
          </cell>
          <cell r="I3576" t="str">
            <v>Kısa</v>
          </cell>
          <cell r="J3576" t="str">
            <v>Şebeke İşletmecisi</v>
          </cell>
          <cell r="K3576" t="str">
            <v>Bildirimsiz</v>
          </cell>
          <cell r="O3576">
            <v>17</v>
          </cell>
          <cell r="P3576">
            <v>758</v>
          </cell>
          <cell r="Q3576">
            <v>2</v>
          </cell>
          <cell r="R3576">
            <v>0</v>
          </cell>
          <cell r="S3576">
            <v>0</v>
          </cell>
          <cell r="T3576">
            <v>0</v>
          </cell>
          <cell r="U3576">
            <v>8.2166666281409562</v>
          </cell>
          <cell r="V3576">
            <v>366.36666494887322</v>
          </cell>
          <cell r="W3576">
            <v>0.96666666213423014</v>
          </cell>
          <cell r="X3576">
            <v>0</v>
          </cell>
          <cell r="Y3576">
            <v>0</v>
          </cell>
          <cell r="Z3576">
            <v>0</v>
          </cell>
        </row>
        <row r="3577">
          <cell r="C3577" t="str">
            <v>TEKİRDAĞ</v>
          </cell>
          <cell r="D3577" t="str">
            <v>SÜLEYMANPAŞA</v>
          </cell>
          <cell r="H3577" t="str">
            <v>Dağıtım-OG</v>
          </cell>
          <cell r="I3577" t="str">
            <v>Kısa</v>
          </cell>
          <cell r="J3577" t="str">
            <v>Şebeke İşletmecisi</v>
          </cell>
          <cell r="K3577" t="str">
            <v>Bildirimsiz</v>
          </cell>
          <cell r="O3577">
            <v>1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  <cell r="U3577">
            <v>0.48333333106711507</v>
          </cell>
          <cell r="V3577">
            <v>0</v>
          </cell>
          <cell r="W3577">
            <v>0</v>
          </cell>
          <cell r="X3577">
            <v>0</v>
          </cell>
          <cell r="Y3577">
            <v>0</v>
          </cell>
          <cell r="Z3577">
            <v>0</v>
          </cell>
        </row>
        <row r="3578">
          <cell r="C3578" t="str">
            <v>KIRKLARELİ</v>
          </cell>
          <cell r="D3578" t="str">
            <v>KIRKLARELİMERKEZ</v>
          </cell>
          <cell r="H3578" t="str">
            <v>Dağıtım-OG</v>
          </cell>
          <cell r="I3578" t="str">
            <v>Kısa</v>
          </cell>
          <cell r="J3578" t="str">
            <v>Şebeke İşletmecisi</v>
          </cell>
          <cell r="K3578" t="str">
            <v>Bildirimsiz</v>
          </cell>
          <cell r="O3578">
            <v>1</v>
          </cell>
          <cell r="P3578">
            <v>0</v>
          </cell>
          <cell r="Q3578">
            <v>0</v>
          </cell>
          <cell r="R3578">
            <v>0</v>
          </cell>
          <cell r="S3578">
            <v>19</v>
          </cell>
          <cell r="T3578">
            <v>1107</v>
          </cell>
          <cell r="U3578">
            <v>0.48333333106711507</v>
          </cell>
          <cell r="V3578">
            <v>0</v>
          </cell>
          <cell r="W3578">
            <v>0</v>
          </cell>
          <cell r="X3578">
            <v>0</v>
          </cell>
          <cell r="Y3578">
            <v>9.1833332902751863</v>
          </cell>
          <cell r="Z3578">
            <v>535.04999749129638</v>
          </cell>
        </row>
        <row r="3579">
          <cell r="C3579" t="str">
            <v>KIRKLARELİ</v>
          </cell>
          <cell r="D3579" t="str">
            <v>LÜLEBURGAZ</v>
          </cell>
          <cell r="H3579" t="str">
            <v>Dağıtım-OG</v>
          </cell>
          <cell r="I3579" t="str">
            <v>Kısa</v>
          </cell>
          <cell r="J3579" t="str">
            <v>Şebeke İşletmecisi</v>
          </cell>
          <cell r="K3579" t="str">
            <v>Bildirimsiz</v>
          </cell>
          <cell r="O3579">
            <v>1</v>
          </cell>
          <cell r="P3579">
            <v>0</v>
          </cell>
          <cell r="Q3579">
            <v>0</v>
          </cell>
          <cell r="R3579">
            <v>0</v>
          </cell>
          <cell r="S3579">
            <v>10</v>
          </cell>
          <cell r="T3579">
            <v>305</v>
          </cell>
          <cell r="U3579">
            <v>0.48333333106711507</v>
          </cell>
          <cell r="V3579">
            <v>0</v>
          </cell>
          <cell r="W3579">
            <v>0</v>
          </cell>
          <cell r="X3579">
            <v>0</v>
          </cell>
          <cell r="Y3579">
            <v>4.8333333106711507</v>
          </cell>
          <cell r="Z3579">
            <v>147.4166659754701</v>
          </cell>
        </row>
        <row r="3580">
          <cell r="C3580" t="str">
            <v>KIRKLARELİ</v>
          </cell>
          <cell r="D3580" t="str">
            <v>KIRKLARELİMERKEZ</v>
          </cell>
          <cell r="H3580" t="str">
            <v>Dağıtım-OG</v>
          </cell>
          <cell r="I3580" t="str">
            <v>Kısa</v>
          </cell>
          <cell r="J3580" t="str">
            <v>Şebeke İşletmecisi</v>
          </cell>
          <cell r="K3580" t="str">
            <v>Bildirimsiz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2</v>
          </cell>
          <cell r="T3580">
            <v>247</v>
          </cell>
          <cell r="U3580">
            <v>0</v>
          </cell>
          <cell r="V3580">
            <v>0</v>
          </cell>
          <cell r="W3580">
            <v>0</v>
          </cell>
          <cell r="X3580">
            <v>0</v>
          </cell>
          <cell r="Y3580">
            <v>0.96666666213423014</v>
          </cell>
          <cell r="Z3580">
            <v>119.38333277357742</v>
          </cell>
        </row>
        <row r="3581">
          <cell r="C3581" t="str">
            <v>KIRKLARELİ</v>
          </cell>
          <cell r="D3581" t="str">
            <v>KIRKLARELİMERKEZ</v>
          </cell>
          <cell r="H3581" t="str">
            <v>Dağıtım-OG</v>
          </cell>
          <cell r="I3581" t="str">
            <v>Kısa</v>
          </cell>
          <cell r="J3581" t="str">
            <v>Şebeke İşletmecisi</v>
          </cell>
          <cell r="K3581" t="str">
            <v>Bildirimsiz</v>
          </cell>
          <cell r="O3581">
            <v>1</v>
          </cell>
          <cell r="P3581">
            <v>0</v>
          </cell>
          <cell r="Q3581">
            <v>0</v>
          </cell>
          <cell r="R3581">
            <v>0</v>
          </cell>
          <cell r="S3581">
            <v>26</v>
          </cell>
          <cell r="T3581">
            <v>1639</v>
          </cell>
          <cell r="U3581">
            <v>0.48333333106711507</v>
          </cell>
          <cell r="V3581">
            <v>0</v>
          </cell>
          <cell r="W3581">
            <v>0</v>
          </cell>
          <cell r="X3581">
            <v>0</v>
          </cell>
          <cell r="Y3581">
            <v>12.566666607744992</v>
          </cell>
          <cell r="Z3581">
            <v>792.1833296190016</v>
          </cell>
        </row>
        <row r="3582">
          <cell r="C3582" t="str">
            <v>KIRKLARELİ</v>
          </cell>
          <cell r="D3582" t="str">
            <v>BABAESKİ</v>
          </cell>
          <cell r="H3582" t="str">
            <v>Dağıtım-AG</v>
          </cell>
          <cell r="I3582" t="str">
            <v>Kısa</v>
          </cell>
          <cell r="J3582" t="str">
            <v>Şebeke işletmecisi</v>
          </cell>
          <cell r="K3582" t="str">
            <v>Bildirimsiz</v>
          </cell>
          <cell r="O3582">
            <v>0</v>
          </cell>
          <cell r="P3582">
            <v>27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  <cell r="U3582">
            <v>0</v>
          </cell>
          <cell r="V3582">
            <v>13.049999938812107</v>
          </cell>
          <cell r="W3582">
            <v>0</v>
          </cell>
          <cell r="X3582">
            <v>0</v>
          </cell>
          <cell r="Y3582">
            <v>0</v>
          </cell>
          <cell r="Z3582">
            <v>0</v>
          </cell>
        </row>
        <row r="3583">
          <cell r="C3583" t="str">
            <v>EDİRNE</v>
          </cell>
          <cell r="D3583" t="str">
            <v>UZUNKÖPRÜ</v>
          </cell>
          <cell r="H3583" t="str">
            <v>Dağıtım-OG</v>
          </cell>
          <cell r="I3583" t="str">
            <v>Kısa</v>
          </cell>
          <cell r="J3583" t="str">
            <v>Şebeke İşletmecisi</v>
          </cell>
          <cell r="K3583" t="str">
            <v>Bildirimsiz</v>
          </cell>
          <cell r="O3583">
            <v>3</v>
          </cell>
          <cell r="P3583">
            <v>0</v>
          </cell>
          <cell r="Q3583">
            <v>0</v>
          </cell>
          <cell r="R3583">
            <v>0</v>
          </cell>
          <cell r="S3583">
            <v>31</v>
          </cell>
          <cell r="T3583">
            <v>1548</v>
          </cell>
          <cell r="U3583">
            <v>1.4000000129453838</v>
          </cell>
          <cell r="V3583">
            <v>0</v>
          </cell>
          <cell r="W3583">
            <v>0</v>
          </cell>
          <cell r="X3583">
            <v>0</v>
          </cell>
          <cell r="Y3583">
            <v>14.466666800435632</v>
          </cell>
          <cell r="Z3583">
            <v>722.40000667981803</v>
          </cell>
        </row>
        <row r="3584">
          <cell r="C3584" t="str">
            <v>TEKİRDAĞ</v>
          </cell>
          <cell r="D3584" t="str">
            <v>SÜLEYMANPAŞA</v>
          </cell>
          <cell r="H3584" t="str">
            <v>Dağıtım-OG</v>
          </cell>
          <cell r="I3584" t="str">
            <v>Kısa</v>
          </cell>
          <cell r="J3584" t="str">
            <v>Şebeke İşletmecisi</v>
          </cell>
          <cell r="K3584" t="str">
            <v>Bildirimsiz</v>
          </cell>
          <cell r="O3584">
            <v>4</v>
          </cell>
          <cell r="P3584">
            <v>605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  <cell r="U3584">
            <v>1.8666666839271784</v>
          </cell>
          <cell r="V3584">
            <v>282.33333594398573</v>
          </cell>
          <cell r="W3584">
            <v>0</v>
          </cell>
          <cell r="X3584">
            <v>0</v>
          </cell>
          <cell r="Y3584">
            <v>0</v>
          </cell>
          <cell r="Z3584">
            <v>0</v>
          </cell>
        </row>
        <row r="3585">
          <cell r="C3585" t="str">
            <v>TEKİRDAĞ</v>
          </cell>
          <cell r="D3585" t="str">
            <v>MALKARA</v>
          </cell>
          <cell r="H3585" t="str">
            <v>Dağıtım-OG</v>
          </cell>
          <cell r="I3585" t="str">
            <v>Kısa</v>
          </cell>
          <cell r="J3585" t="str">
            <v>Şebeke İşletmecisi</v>
          </cell>
          <cell r="K3585" t="str">
            <v>Bildirimsiz</v>
          </cell>
          <cell r="O3585">
            <v>1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  <cell r="U3585">
            <v>0.4666666709817946</v>
          </cell>
          <cell r="V3585">
            <v>0</v>
          </cell>
          <cell r="W3585">
            <v>0</v>
          </cell>
          <cell r="X3585">
            <v>0</v>
          </cell>
          <cell r="Y3585">
            <v>0</v>
          </cell>
          <cell r="Z3585">
            <v>0</v>
          </cell>
        </row>
        <row r="3586">
          <cell r="C3586" t="str">
            <v>KIRKLARELİ</v>
          </cell>
          <cell r="D3586" t="str">
            <v>KIRKLARELİMERKEZ</v>
          </cell>
          <cell r="H3586" t="str">
            <v>Dağıtım-OG</v>
          </cell>
          <cell r="I3586" t="str">
            <v>Kısa</v>
          </cell>
          <cell r="J3586" t="str">
            <v>Şebeke İşletmecisi</v>
          </cell>
          <cell r="K3586" t="str">
            <v>Bildirimsiz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2</v>
          </cell>
          <cell r="T3586">
            <v>247</v>
          </cell>
          <cell r="U3586">
            <v>0</v>
          </cell>
          <cell r="V3586">
            <v>0</v>
          </cell>
          <cell r="W3586">
            <v>0</v>
          </cell>
          <cell r="X3586">
            <v>0</v>
          </cell>
          <cell r="Y3586">
            <v>0.93333334196358919</v>
          </cell>
          <cell r="Z3586">
            <v>115.26666773250327</v>
          </cell>
        </row>
        <row r="3587">
          <cell r="C3587" t="str">
            <v>KIRKLARELİ</v>
          </cell>
          <cell r="D3587" t="str">
            <v>KIRKLARELİMERKEZ</v>
          </cell>
          <cell r="H3587" t="str">
            <v>Dağıtım-OG</v>
          </cell>
          <cell r="I3587" t="str">
            <v>Kısa</v>
          </cell>
          <cell r="J3587" t="str">
            <v>Şebeke İşletmecisi</v>
          </cell>
          <cell r="K3587" t="str">
            <v>Bildirimsiz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2</v>
          </cell>
          <cell r="T3587">
            <v>247</v>
          </cell>
          <cell r="U3587">
            <v>0</v>
          </cell>
          <cell r="V3587">
            <v>0</v>
          </cell>
          <cell r="W3587">
            <v>0</v>
          </cell>
          <cell r="X3587">
            <v>0</v>
          </cell>
          <cell r="Y3587">
            <v>0.93333334196358919</v>
          </cell>
          <cell r="Z3587">
            <v>115.26666773250327</v>
          </cell>
        </row>
        <row r="3588">
          <cell r="C3588" t="str">
            <v>TEKİRDAĞ</v>
          </cell>
          <cell r="D3588" t="str">
            <v>MARMARAEREĞLİSİ</v>
          </cell>
          <cell r="H3588" t="str">
            <v>Dağıtım-AG</v>
          </cell>
          <cell r="I3588" t="str">
            <v>Kısa</v>
          </cell>
          <cell r="J3588" t="str">
            <v>Şebeke işletmecisi</v>
          </cell>
          <cell r="K3588" t="str">
            <v>Bildirimsiz</v>
          </cell>
          <cell r="O3588">
            <v>0</v>
          </cell>
          <cell r="P3588">
            <v>0</v>
          </cell>
          <cell r="Q3588">
            <v>0</v>
          </cell>
          <cell r="R3588">
            <v>20</v>
          </cell>
          <cell r="S3588">
            <v>0</v>
          </cell>
          <cell r="T3588">
            <v>0</v>
          </cell>
          <cell r="U3588">
            <v>0</v>
          </cell>
          <cell r="V3588">
            <v>0</v>
          </cell>
          <cell r="W3588">
            <v>0</v>
          </cell>
          <cell r="X3588">
            <v>9.3333332100883126</v>
          </cell>
          <cell r="Y3588">
            <v>0</v>
          </cell>
          <cell r="Z3588">
            <v>0</v>
          </cell>
        </row>
        <row r="3589">
          <cell r="C3589" t="str">
            <v>EDİRNE</v>
          </cell>
          <cell r="D3589" t="str">
            <v>İPSALA</v>
          </cell>
          <cell r="H3589" t="str">
            <v>Dağıtım-OG</v>
          </cell>
          <cell r="I3589" t="str">
            <v>Kısa</v>
          </cell>
          <cell r="J3589" t="str">
            <v>Şebeke İşletmecisi</v>
          </cell>
          <cell r="K3589" t="str">
            <v>Bildirimsiz</v>
          </cell>
          <cell r="O3589">
            <v>0</v>
          </cell>
          <cell r="P3589">
            <v>0</v>
          </cell>
          <cell r="Q3589">
            <v>3</v>
          </cell>
          <cell r="R3589">
            <v>0</v>
          </cell>
          <cell r="S3589">
            <v>39</v>
          </cell>
          <cell r="T3589">
            <v>0</v>
          </cell>
          <cell r="U3589">
            <v>0</v>
          </cell>
          <cell r="V3589">
            <v>0</v>
          </cell>
          <cell r="W3589">
            <v>1.3999999815132469</v>
          </cell>
          <cell r="X3589">
            <v>0</v>
          </cell>
          <cell r="Y3589">
            <v>18.19999975967221</v>
          </cell>
          <cell r="Z3589">
            <v>0</v>
          </cell>
        </row>
        <row r="3590">
          <cell r="C3590" t="str">
            <v>TEKİRDAĞ</v>
          </cell>
          <cell r="D3590" t="str">
            <v>HAYRABOLU</v>
          </cell>
          <cell r="H3590" t="str">
            <v>Dağıtım-OG</v>
          </cell>
          <cell r="I3590" t="str">
            <v>Kısa</v>
          </cell>
          <cell r="J3590" t="str">
            <v>Şebeke İşletmecisi</v>
          </cell>
          <cell r="K3590" t="str">
            <v>Bildirimsiz</v>
          </cell>
          <cell r="O3590">
            <v>0</v>
          </cell>
          <cell r="P3590">
            <v>0</v>
          </cell>
          <cell r="Q3590">
            <v>6</v>
          </cell>
          <cell r="R3590">
            <v>1</v>
          </cell>
          <cell r="S3590">
            <v>11</v>
          </cell>
          <cell r="T3590">
            <v>947</v>
          </cell>
          <cell r="U3590">
            <v>0</v>
          </cell>
          <cell r="V3590">
            <v>0</v>
          </cell>
          <cell r="W3590">
            <v>2.7999999630264938</v>
          </cell>
          <cell r="X3590">
            <v>0.46666666050441563</v>
          </cell>
          <cell r="Y3590">
            <v>5.1333332655485719</v>
          </cell>
          <cell r="Z3590">
            <v>441.9333274976816</v>
          </cell>
        </row>
        <row r="3591">
          <cell r="C3591" t="str">
            <v>KIRKLARELİ</v>
          </cell>
          <cell r="D3591" t="str">
            <v>KIRKLARELİMERKEZ</v>
          </cell>
          <cell r="H3591" t="str">
            <v>Dağıtım-OG</v>
          </cell>
          <cell r="I3591" t="str">
            <v>Kısa</v>
          </cell>
          <cell r="J3591" t="str">
            <v>Şebeke İşletmecisi</v>
          </cell>
          <cell r="K3591" t="str">
            <v>Bildirimsiz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2</v>
          </cell>
          <cell r="T3591">
            <v>247</v>
          </cell>
          <cell r="U3591">
            <v>0</v>
          </cell>
          <cell r="V3591">
            <v>0</v>
          </cell>
          <cell r="W3591">
            <v>0</v>
          </cell>
          <cell r="X3591">
            <v>0</v>
          </cell>
          <cell r="Y3591">
            <v>0.93333332100883126</v>
          </cell>
          <cell r="Z3591">
            <v>115.26666514459066</v>
          </cell>
        </row>
        <row r="3592">
          <cell r="C3592" t="str">
            <v>KIRKLARELİ</v>
          </cell>
          <cell r="D3592" t="str">
            <v>KIRKLARELİMERKEZ</v>
          </cell>
          <cell r="H3592" t="str">
            <v>Dağıtım-OG</v>
          </cell>
          <cell r="I3592" t="str">
            <v>Kısa</v>
          </cell>
          <cell r="J3592" t="str">
            <v>Şebeke İşletmecisi</v>
          </cell>
          <cell r="K3592" t="str">
            <v>Bildirimsiz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2</v>
          </cell>
          <cell r="T3592">
            <v>247</v>
          </cell>
          <cell r="U3592">
            <v>0</v>
          </cell>
          <cell r="V3592">
            <v>0</v>
          </cell>
          <cell r="W3592">
            <v>0</v>
          </cell>
          <cell r="X3592">
            <v>0</v>
          </cell>
          <cell r="Y3592">
            <v>0.93333332100883126</v>
          </cell>
          <cell r="Z3592">
            <v>115.26666514459066</v>
          </cell>
        </row>
        <row r="3593">
          <cell r="C3593" t="str">
            <v>EDİRNE</v>
          </cell>
          <cell r="D3593" t="str">
            <v>İPSALA</v>
          </cell>
          <cell r="H3593" t="str">
            <v>Dağıtım-OG</v>
          </cell>
          <cell r="I3593" t="str">
            <v>Kısa</v>
          </cell>
          <cell r="J3593" t="str">
            <v>Şebeke İşletmecisi</v>
          </cell>
          <cell r="K3593" t="str">
            <v>Bildirimsiz</v>
          </cell>
          <cell r="O3593">
            <v>0</v>
          </cell>
          <cell r="P3593">
            <v>0</v>
          </cell>
          <cell r="Q3593">
            <v>1</v>
          </cell>
          <cell r="R3593">
            <v>0</v>
          </cell>
          <cell r="S3593">
            <v>13</v>
          </cell>
          <cell r="T3593">
            <v>0</v>
          </cell>
          <cell r="U3593">
            <v>0</v>
          </cell>
          <cell r="V3593">
            <v>0</v>
          </cell>
          <cell r="W3593">
            <v>0.45000000041909516</v>
          </cell>
          <cell r="X3593">
            <v>0</v>
          </cell>
          <cell r="Y3593">
            <v>5.8500000054482371</v>
          </cell>
          <cell r="Z3593">
            <v>0</v>
          </cell>
        </row>
        <row r="3594">
          <cell r="C3594" t="str">
            <v>TEKİRDAĞ</v>
          </cell>
          <cell r="D3594" t="str">
            <v>HAYRABOLU</v>
          </cell>
          <cell r="H3594" t="str">
            <v>Dağıtım-OG</v>
          </cell>
          <cell r="I3594" t="str">
            <v>Kısa</v>
          </cell>
          <cell r="J3594" t="str">
            <v>Şebeke İşletmecisi</v>
          </cell>
          <cell r="K3594" t="str">
            <v>Bildirimsiz</v>
          </cell>
          <cell r="O3594">
            <v>0</v>
          </cell>
          <cell r="P3594">
            <v>364</v>
          </cell>
          <cell r="Q3594">
            <v>2</v>
          </cell>
          <cell r="R3594">
            <v>1</v>
          </cell>
          <cell r="S3594">
            <v>2</v>
          </cell>
          <cell r="T3594">
            <v>180</v>
          </cell>
          <cell r="U3594">
            <v>0</v>
          </cell>
          <cell r="V3594">
            <v>163.80000015255064</v>
          </cell>
          <cell r="W3594">
            <v>0.90000000083819032</v>
          </cell>
          <cell r="X3594">
            <v>0.45000000041909516</v>
          </cell>
          <cell r="Y3594">
            <v>0.90000000083819032</v>
          </cell>
          <cell r="Z3594">
            <v>81.000000075437129</v>
          </cell>
        </row>
        <row r="3595">
          <cell r="C3595" t="str">
            <v>EDİRNE</v>
          </cell>
          <cell r="D3595" t="str">
            <v>ENEZ</v>
          </cell>
          <cell r="H3595" t="str">
            <v>Dağıtım-OG</v>
          </cell>
          <cell r="I3595" t="str">
            <v>Kısa</v>
          </cell>
          <cell r="J3595" t="str">
            <v>Şebeke İşletmecisi</v>
          </cell>
          <cell r="K3595" t="str">
            <v>Bildirimsiz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14</v>
          </cell>
          <cell r="T3595">
            <v>1</v>
          </cell>
          <cell r="U3595">
            <v>0</v>
          </cell>
          <cell r="V3595">
            <v>0</v>
          </cell>
          <cell r="W3595">
            <v>0</v>
          </cell>
          <cell r="X3595">
            <v>0</v>
          </cell>
          <cell r="Y3595">
            <v>6.3000000058673322</v>
          </cell>
          <cell r="Z3595">
            <v>0.45000000041909516</v>
          </cell>
        </row>
        <row r="3596">
          <cell r="C3596" t="str">
            <v>KIRKLARELİ</v>
          </cell>
          <cell r="D3596" t="str">
            <v>KOFÇAZ</v>
          </cell>
          <cell r="H3596" t="str">
            <v>Dağıtım-OG</v>
          </cell>
          <cell r="I3596" t="str">
            <v>Kısa</v>
          </cell>
          <cell r="J3596" t="str">
            <v>Şebeke İşletmecisi</v>
          </cell>
          <cell r="K3596" t="str">
            <v>Bildirimsiz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60</v>
          </cell>
          <cell r="U3596">
            <v>0</v>
          </cell>
          <cell r="V3596">
            <v>0</v>
          </cell>
          <cell r="W3596">
            <v>0</v>
          </cell>
          <cell r="X3596">
            <v>0</v>
          </cell>
          <cell r="Y3596">
            <v>0</v>
          </cell>
          <cell r="Z3596">
            <v>27.00000002514571</v>
          </cell>
        </row>
        <row r="3597">
          <cell r="C3597" t="str">
            <v>KIRKLARELİ</v>
          </cell>
          <cell r="D3597" t="str">
            <v>LÜLEBURGAZ</v>
          </cell>
          <cell r="H3597" t="str">
            <v>Dağıtım-OG</v>
          </cell>
          <cell r="I3597" t="str">
            <v>Kısa</v>
          </cell>
          <cell r="J3597" t="str">
            <v>Şebeke İşletmecisi</v>
          </cell>
          <cell r="K3597" t="str">
            <v>Bildirimsiz</v>
          </cell>
          <cell r="O3597">
            <v>5</v>
          </cell>
          <cell r="P3597">
            <v>0</v>
          </cell>
          <cell r="Q3597">
            <v>0</v>
          </cell>
          <cell r="R3597">
            <v>0</v>
          </cell>
          <cell r="S3597">
            <v>47</v>
          </cell>
          <cell r="T3597">
            <v>797</v>
          </cell>
          <cell r="U3597">
            <v>2.2500000020954758</v>
          </cell>
          <cell r="V3597">
            <v>0</v>
          </cell>
          <cell r="W3597">
            <v>0</v>
          </cell>
          <cell r="X3597">
            <v>0</v>
          </cell>
          <cell r="Y3597">
            <v>21.150000019697472</v>
          </cell>
          <cell r="Z3597">
            <v>358.65000033401884</v>
          </cell>
        </row>
        <row r="3598">
          <cell r="C3598" t="str">
            <v>TEKİRDAĞ</v>
          </cell>
          <cell r="D3598" t="str">
            <v>SÜLEYMANPAŞA</v>
          </cell>
          <cell r="H3598" t="str">
            <v>Dağıtım-OG</v>
          </cell>
          <cell r="I3598" t="str">
            <v>Kısa</v>
          </cell>
          <cell r="J3598" t="str">
            <v>Şebeke İşletmecisi</v>
          </cell>
          <cell r="K3598" t="str">
            <v>Bildirimsiz</v>
          </cell>
          <cell r="O3598">
            <v>1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>
            <v>0.45000000041909516</v>
          </cell>
          <cell r="V3598">
            <v>0</v>
          </cell>
          <cell r="W3598">
            <v>0</v>
          </cell>
          <cell r="X3598">
            <v>0</v>
          </cell>
          <cell r="Y3598">
            <v>0</v>
          </cell>
          <cell r="Z3598">
            <v>0</v>
          </cell>
        </row>
        <row r="3599">
          <cell r="C3599" t="str">
            <v>EDİRNE</v>
          </cell>
          <cell r="D3599" t="str">
            <v>İPSALA</v>
          </cell>
          <cell r="H3599" t="str">
            <v>Dağıtım-OG</v>
          </cell>
          <cell r="I3599" t="str">
            <v>Kısa</v>
          </cell>
          <cell r="J3599" t="str">
            <v>Şebeke İşletmecisi</v>
          </cell>
          <cell r="K3599" t="str">
            <v>Bildirimsiz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1</v>
          </cell>
          <cell r="T3599">
            <v>971</v>
          </cell>
          <cell r="U3599">
            <v>0</v>
          </cell>
          <cell r="V3599">
            <v>0</v>
          </cell>
          <cell r="W3599">
            <v>0</v>
          </cell>
          <cell r="X3599">
            <v>0</v>
          </cell>
          <cell r="Y3599">
            <v>0.43333332985639572</v>
          </cell>
          <cell r="Z3599">
            <v>420.76666329056025</v>
          </cell>
        </row>
        <row r="3600">
          <cell r="C3600" t="str">
            <v>EDİRNE</v>
          </cell>
          <cell r="D3600" t="str">
            <v>İPSALA</v>
          </cell>
          <cell r="H3600" t="str">
            <v>Dağıtım-OG</v>
          </cell>
          <cell r="I3600" t="str">
            <v>Kısa</v>
          </cell>
          <cell r="J3600" t="str">
            <v>Şebeke İşletmecisi</v>
          </cell>
          <cell r="K3600" t="str">
            <v>Bildirimsiz</v>
          </cell>
          <cell r="O3600">
            <v>0</v>
          </cell>
          <cell r="P3600">
            <v>0</v>
          </cell>
          <cell r="Q3600">
            <v>4</v>
          </cell>
          <cell r="R3600">
            <v>4</v>
          </cell>
          <cell r="S3600">
            <v>14</v>
          </cell>
          <cell r="T3600">
            <v>0</v>
          </cell>
          <cell r="U3600">
            <v>0</v>
          </cell>
          <cell r="V3600">
            <v>0</v>
          </cell>
          <cell r="W3600">
            <v>1.7333333194255829</v>
          </cell>
          <cell r="X3600">
            <v>1.7333333194255829</v>
          </cell>
          <cell r="Y3600">
            <v>6.0666666179895401</v>
          </cell>
          <cell r="Z3600">
            <v>0</v>
          </cell>
        </row>
        <row r="3601">
          <cell r="C3601" t="str">
            <v>KIRKLARELİ</v>
          </cell>
          <cell r="D3601" t="str">
            <v>LÜLEBURGAZ</v>
          </cell>
          <cell r="H3601" t="str">
            <v>Dağıtım-OG</v>
          </cell>
          <cell r="I3601" t="str">
            <v>Kısa</v>
          </cell>
          <cell r="J3601" t="str">
            <v>Şebeke İşletmecisi</v>
          </cell>
          <cell r="K3601" t="str">
            <v>Bildirimsiz</v>
          </cell>
          <cell r="O3601">
            <v>1</v>
          </cell>
          <cell r="P3601">
            <v>0</v>
          </cell>
          <cell r="Q3601">
            <v>0</v>
          </cell>
          <cell r="R3601">
            <v>0</v>
          </cell>
          <cell r="S3601">
            <v>2</v>
          </cell>
          <cell r="T3601">
            <v>380</v>
          </cell>
          <cell r="U3601">
            <v>0.43333332985639572</v>
          </cell>
          <cell r="V3601">
            <v>0</v>
          </cell>
          <cell r="W3601">
            <v>0</v>
          </cell>
          <cell r="X3601">
            <v>0</v>
          </cell>
          <cell r="Y3601">
            <v>0.86666665971279144</v>
          </cell>
          <cell r="Z3601">
            <v>164.66666534543037</v>
          </cell>
        </row>
        <row r="3602">
          <cell r="C3602" t="str">
            <v>TEKİRDAĞ</v>
          </cell>
          <cell r="D3602" t="str">
            <v>ÇORLU</v>
          </cell>
          <cell r="H3602" t="str">
            <v>Dağıtım-AG</v>
          </cell>
          <cell r="I3602" t="str">
            <v>Kısa</v>
          </cell>
          <cell r="J3602" t="str">
            <v>Şebeke işletmecisi</v>
          </cell>
          <cell r="K3602" t="str">
            <v>Bildirimsiz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10</v>
          </cell>
          <cell r="U3602">
            <v>0</v>
          </cell>
          <cell r="V3602">
            <v>0</v>
          </cell>
          <cell r="W3602">
            <v>0</v>
          </cell>
          <cell r="X3602">
            <v>0</v>
          </cell>
          <cell r="Y3602">
            <v>0</v>
          </cell>
          <cell r="Z3602">
            <v>4.1666666977107525</v>
          </cell>
        </row>
        <row r="3603">
          <cell r="C3603" t="str">
            <v>EDİRNE</v>
          </cell>
          <cell r="D3603" t="str">
            <v>İPSALA</v>
          </cell>
          <cell r="H3603" t="str">
            <v>Dağıtım-OG</v>
          </cell>
          <cell r="I3603" t="str">
            <v>Kısa</v>
          </cell>
          <cell r="J3603" t="str">
            <v>Şebeke İşletmecisi</v>
          </cell>
          <cell r="K3603" t="str">
            <v>Bildirimsiz</v>
          </cell>
          <cell r="O3603">
            <v>0</v>
          </cell>
          <cell r="P3603">
            <v>0</v>
          </cell>
          <cell r="Q3603">
            <v>1</v>
          </cell>
          <cell r="R3603">
            <v>0</v>
          </cell>
          <cell r="S3603">
            <v>33</v>
          </cell>
          <cell r="T3603">
            <v>1</v>
          </cell>
          <cell r="U3603">
            <v>0</v>
          </cell>
          <cell r="V3603">
            <v>0</v>
          </cell>
          <cell r="W3603">
            <v>0.41666665929369628</v>
          </cell>
          <cell r="X3603">
            <v>0</v>
          </cell>
          <cell r="Y3603">
            <v>13.749999756691977</v>
          </cell>
          <cell r="Z3603">
            <v>0.41666665929369628</v>
          </cell>
        </row>
        <row r="3604">
          <cell r="C3604" t="str">
            <v>KIRKLARELİ</v>
          </cell>
          <cell r="D3604" t="str">
            <v>PINARHİSAR</v>
          </cell>
          <cell r="H3604" t="str">
            <v>Dağıtım-OG</v>
          </cell>
          <cell r="I3604" t="str">
            <v>Kısa</v>
          </cell>
          <cell r="J3604" t="str">
            <v>Şebeke İşletmecisi</v>
          </cell>
          <cell r="K3604" t="str">
            <v>Bildirimsiz</v>
          </cell>
          <cell r="O3604">
            <v>0</v>
          </cell>
          <cell r="P3604">
            <v>0</v>
          </cell>
          <cell r="Q3604">
            <v>4</v>
          </cell>
          <cell r="R3604">
            <v>1</v>
          </cell>
          <cell r="S3604">
            <v>48</v>
          </cell>
          <cell r="T3604">
            <v>2196</v>
          </cell>
          <cell r="U3604">
            <v>0</v>
          </cell>
          <cell r="V3604">
            <v>0</v>
          </cell>
          <cell r="W3604">
            <v>1.6000000387430191</v>
          </cell>
          <cell r="X3604">
            <v>0.40000000968575478</v>
          </cell>
          <cell r="Y3604">
            <v>19.200000464916229</v>
          </cell>
          <cell r="Z3604">
            <v>878.40002126991749</v>
          </cell>
        </row>
        <row r="3605">
          <cell r="C3605" t="str">
            <v>EDİRNE</v>
          </cell>
          <cell r="D3605" t="str">
            <v>EDİRNEMERKEZ</v>
          </cell>
          <cell r="H3605" t="str">
            <v>Dağıtım-OG</v>
          </cell>
          <cell r="I3605" t="str">
            <v>Kısa</v>
          </cell>
          <cell r="J3605" t="str">
            <v>Şebeke işletmecisi</v>
          </cell>
          <cell r="K3605" t="str">
            <v>Bildirimsiz</v>
          </cell>
          <cell r="O3605">
            <v>1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>
            <v>0.35000000847503543</v>
          </cell>
          <cell r="V3605">
            <v>0</v>
          </cell>
          <cell r="W3605">
            <v>0</v>
          </cell>
          <cell r="X3605">
            <v>0</v>
          </cell>
          <cell r="Y3605">
            <v>0</v>
          </cell>
          <cell r="Z3605">
            <v>0</v>
          </cell>
        </row>
        <row r="3606">
          <cell r="C3606" t="str">
            <v>KIRKLARELİ</v>
          </cell>
          <cell r="D3606" t="str">
            <v>KIRKLARELİMERKEZ</v>
          </cell>
          <cell r="H3606" t="str">
            <v>Dağıtım-OG</v>
          </cell>
          <cell r="I3606" t="str">
            <v>Kısa</v>
          </cell>
          <cell r="J3606" t="str">
            <v>Şebeke İşletmecisi</v>
          </cell>
          <cell r="K3606" t="str">
            <v>Bildirimsiz</v>
          </cell>
          <cell r="O3606">
            <v>0</v>
          </cell>
          <cell r="P3606">
            <v>0</v>
          </cell>
          <cell r="Q3606">
            <v>1</v>
          </cell>
          <cell r="R3606">
            <v>0</v>
          </cell>
          <cell r="S3606">
            <v>26</v>
          </cell>
          <cell r="T3606">
            <v>907</v>
          </cell>
          <cell r="U3606">
            <v>0</v>
          </cell>
          <cell r="V3606">
            <v>0</v>
          </cell>
          <cell r="W3606">
            <v>0.34999999799765646</v>
          </cell>
          <cell r="X3606">
            <v>0</v>
          </cell>
          <cell r="Y3606">
            <v>9.0999999479390681</v>
          </cell>
          <cell r="Z3606">
            <v>317.44999818387441</v>
          </cell>
        </row>
        <row r="3607">
          <cell r="C3607" t="str">
            <v>TEKİRDAĞ</v>
          </cell>
          <cell r="D3607" t="str">
            <v>SÜLEYMANPAŞA</v>
          </cell>
          <cell r="H3607" t="str">
            <v>Dağıtım-OG</v>
          </cell>
          <cell r="I3607" t="str">
            <v>Kısa</v>
          </cell>
          <cell r="J3607" t="str">
            <v>Şebeke İşletmecisi</v>
          </cell>
          <cell r="K3607" t="str">
            <v>Bildirimsiz</v>
          </cell>
          <cell r="O3607">
            <v>14</v>
          </cell>
          <cell r="P3607">
            <v>344</v>
          </cell>
          <cell r="Q3607">
            <v>2</v>
          </cell>
          <cell r="R3607">
            <v>0</v>
          </cell>
          <cell r="S3607">
            <v>1</v>
          </cell>
          <cell r="T3607">
            <v>0</v>
          </cell>
          <cell r="U3607">
            <v>4.8999999719671905</v>
          </cell>
          <cell r="V3607">
            <v>120.39999931119382</v>
          </cell>
          <cell r="W3607">
            <v>0.69999999599531293</v>
          </cell>
          <cell r="X3607">
            <v>0</v>
          </cell>
          <cell r="Y3607">
            <v>0.34999999799765646</v>
          </cell>
          <cell r="Z3607">
            <v>0</v>
          </cell>
        </row>
        <row r="3608">
          <cell r="C3608" t="str">
            <v>EDİRNE</v>
          </cell>
          <cell r="D3608" t="str">
            <v>EDİRNEMERKEZ</v>
          </cell>
          <cell r="H3608" t="str">
            <v>Dağıtım-OG</v>
          </cell>
          <cell r="I3608" t="str">
            <v>Kısa</v>
          </cell>
          <cell r="J3608" t="str">
            <v>Şebeke İşletmecisi</v>
          </cell>
          <cell r="K3608" t="str">
            <v>Bildirimsiz</v>
          </cell>
          <cell r="O3608">
            <v>4</v>
          </cell>
          <cell r="P3608">
            <v>108</v>
          </cell>
          <cell r="Q3608">
            <v>0</v>
          </cell>
          <cell r="R3608">
            <v>0</v>
          </cell>
          <cell r="S3608">
            <v>5</v>
          </cell>
          <cell r="T3608">
            <v>0</v>
          </cell>
          <cell r="U3608">
            <v>1.3333333097398281</v>
          </cell>
          <cell r="V3608">
            <v>35.999999362975359</v>
          </cell>
          <cell r="W3608">
            <v>0</v>
          </cell>
          <cell r="X3608">
            <v>0</v>
          </cell>
          <cell r="Y3608">
            <v>1.6666666371747851</v>
          </cell>
          <cell r="Z3608">
            <v>0</v>
          </cell>
        </row>
        <row r="3609">
          <cell r="C3609" t="str">
            <v>TEKİRDAĞ</v>
          </cell>
          <cell r="D3609" t="str">
            <v>MARMARAEREĞLİSİ</v>
          </cell>
          <cell r="H3609" t="str">
            <v>Dağıtım-AG</v>
          </cell>
          <cell r="I3609" t="str">
            <v>Kısa</v>
          </cell>
          <cell r="J3609" t="str">
            <v>Şebeke işletmecisi</v>
          </cell>
          <cell r="K3609" t="str">
            <v>Bildirimsiz</v>
          </cell>
          <cell r="O3609">
            <v>0</v>
          </cell>
          <cell r="P3609">
            <v>15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>
            <v>0</v>
          </cell>
          <cell r="V3609">
            <v>4.5000001089647412</v>
          </cell>
          <cell r="W3609">
            <v>0</v>
          </cell>
          <cell r="X3609">
            <v>0</v>
          </cell>
          <cell r="Y3609">
            <v>0</v>
          </cell>
          <cell r="Z36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9"/>
  </sheetPr>
  <dimension ref="B2:Q71"/>
  <sheetViews>
    <sheetView tabSelected="1" zoomScale="55" zoomScaleNormal="55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2" spans="2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7" ht="16.5" customHeight="1" thickBot="1" x14ac:dyDescent="0.3">
      <c r="B3" s="29" t="s">
        <v>6</v>
      </c>
      <c r="C3" s="36" t="s">
        <v>44</v>
      </c>
    </row>
    <row r="4" spans="2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2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2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İşletmecisi",'[7]TABLO-1'!K4:K32873,"=Bildirimsiz",'[7]TABLO-1'!I4:I32873,"=Uzun")/P6</f>
        <v>0</v>
      </c>
      <c r="E6" s="10">
        <f>SUMIFS('[7]TABLO-1'!V4:V32873,'[7]TABLO-1'!H4:H32873,"=İletim",'[7]TABLO-1'!J4:J32873,"=Şebeke İşletmecisi",'[7]TABLO-1'!K4:K32873,"=Bildirimsiz",'[7]TABLO-1'!I4:I32873,"=Uzun")/P12</f>
        <v>9.4859722022911221E-5</v>
      </c>
      <c r="F6" s="10">
        <f>IFERROR((((D6*$P$6)+(E6*$P$12))/$P$17),"0,00")</f>
        <v>9.4228720187745235E-5</v>
      </c>
      <c r="G6" s="10">
        <f>SUMIFS('[7]TABLO-1'!W4:W32873,'[7]TABLO-1'!H4:H32873,"=İletim",'[7]TABLO-1'!J4:J32873,"=Şebeke İşletmecisi",'[7]TABLO-1'!K4:K32873,"=Bildirimsiz",'[7]TABLO-1'!I4:I32873,"=Uzun")/P7</f>
        <v>3.9696611496223576E-2</v>
      </c>
      <c r="H6" s="10">
        <f>SUMIFS('[7]TABLO-1'!X4:X32873,'[7]TABLO-1'!H4:H32873,"=İletim",'[7]TABLO-1'!J4:J32873,"=Şebeke İşletmecisi",'[7]TABLO-1'!K4:K32873,"=Bildirimsiz",'[7]TABLO-1'!I4:I32873,"=Uzun")/P13</f>
        <v>0</v>
      </c>
      <c r="I6" s="10">
        <f>IFERROR((((G6*$P$7)+(H6*$P$13))/$P$20),"0,00")</f>
        <v>3.5913778406610072E-4</v>
      </c>
      <c r="J6" s="10">
        <f>SUMIFS('[7]TABLO-1'!Y4:Y32873,'[7]TABLO-1'!H4:H32873,"=İletim",'[7]TABLO-1'!J4:J32873,"=Şebeke İşletmecisi",'[7]TABLO-1'!K4:K32873,"=Bildirimsiz",'[7]TABLO-1'!I4:I32873,"=Uzun")/P8</f>
        <v>6.0483265782629705E-2</v>
      </c>
      <c r="K6" s="10">
        <f>SUMIFS('[7]TABLO-1'!Z4:Z32873,'[7]TABLO-1'!H4:H32873,"=İletim",'[7]TABLO-1'!J4:J32873,"=Şebeke İşletmecisi",'[7]TABLO-1'!K4:K32873,"=Bildirimsiz",'[7]TABLO-1'!I4:I32873,"=Uzun")/P14</f>
        <v>7.7697453126546592E-2</v>
      </c>
      <c r="L6" s="10">
        <f>IFERROR((((J6*$P$8)+(K6*$P$14))/$P$23),"0,00")</f>
        <v>7.7282639930163446E-2</v>
      </c>
      <c r="M6" s="11">
        <f>IFERROR((((F6*$P$17)+(I6*$P$20)+(L6*$P$23))/$P$26),"0,00")</f>
        <v>1.1094358904707797E-2</v>
      </c>
      <c r="O6" s="20" t="s">
        <v>33</v>
      </c>
      <c r="P6" s="40">
        <v>6164</v>
      </c>
      <c r="Q6" s="40"/>
    </row>
    <row r="7" spans="2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Sebep",'[7]TABLO-1'!K4:K32873,"=Bildirimsiz",'[7]TABLO-1'!I4:I32873,"=Uzun")/P6</f>
        <v>0</v>
      </c>
      <c r="E7" s="10">
        <f>SUMIFS('[7]TABLO-1'!V4:V32873,'[7]TABLO-1'!H4:H32873,"=İletim",'[7]TABLO-1'!J4:J32873,"=Mücbir Sebep",'[7]TABLO-1'!K4:K32873,"=Bildirimsiz",'[7]TABLO-1'!I4:I32873,"=Uzun")/P12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Sebep",'[7]TABLO-1'!K4:K32873,"=Bildirimsiz",'[7]TABLO-1'!I4:I32873,"=Uzun")/P7</f>
        <v>0</v>
      </c>
      <c r="H7" s="10">
        <f>SUMIFS('[7]TABLO-1'!X4:X32873,'[7]TABLO-1'!H4:H32873,"=İletim",'[7]TABLO-1'!J4:J32873,"=Mücbir Sebep",'[7]TABLO-1'!K4:K32873,"=Bildirimsiz",'[7]TABLO-1'!I4:I32873,"=Uzun")/P13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Sebep",'[7]TABLO-1'!K4:K32873,"=Bildirimsiz",'[7]TABLO-1'!I4:I32873,"=Uzun")/P8</f>
        <v>0</v>
      </c>
      <c r="K7" s="10">
        <f>SUMIFS('[7]TABLO-1'!Z4:Z32873,'[7]TABLO-1'!H4:H32873,"=İletim",'[7]TABLO-1'!J4:J32873,"=Mücbir Sebep",'[7]TABLO-1'!K4:K32873,"=Bildirimsiz",'[7]TABLO-1'!I4:I32873,"=Uzun")/P14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1692</v>
      </c>
      <c r="Q7" s="53"/>
    </row>
    <row r="8" spans="2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İşletmecisi",'[7]TABLO-1'!K4:K32873,"=Bildirimsiz",'[7]TABLO-1'!I4:I32873,"=Uzun")/P6</f>
        <v>23.566098853342389</v>
      </c>
      <c r="E8" s="10">
        <f>SUMIFS('[7]TABLO-1'!V4:V32873,'[7]TABLO-1'!H4:H32873,"=Dağıtım-OG",'[7]TABLO-1'!J4:J32873,"=Şebeke İşletmecisi",'[7]TABLO-1'!K4:K32873,"=Bildirimsiz",'[7]TABLO-1'!I4:I32873,"=Uzun")/P12</f>
        <v>20.041396644972306</v>
      </c>
      <c r="F8" s="10">
        <f t="shared" si="0"/>
        <v>20.064842776949774</v>
      </c>
      <c r="G8" s="10">
        <f>SUMIFS('[7]TABLO-1'!W4:W32873,'[7]TABLO-1'!H4:H32873,"=Dağıtım-OG",'[7]TABLO-1'!J4:J32873,"=Şebeke İşletmecisi",'[7]TABLO-1'!K4:K32873,"=Bildirimsiz",'[7]TABLO-1'!I4:I32873,"=Uzun")/P7</f>
        <v>34.916706068064777</v>
      </c>
      <c r="H8" s="10">
        <f>SUMIFS('[7]TABLO-1'!X4:X32873,'[7]TABLO-1'!H4:H32873,"=Dağıtım-OG",'[7]TABLO-1'!J4:J32873,"=Şebeke İşletmecisi",'[7]TABLO-1'!K4:K32873,"=Bildirimsiz",'[7]TABLO-1'!I4:I32873,"=Uzun")/P13</f>
        <v>23.517808143727979</v>
      </c>
      <c r="I8" s="10">
        <f t="shared" si="1"/>
        <v>23.620934702571205</v>
      </c>
      <c r="J8" s="10">
        <f>SUMIFS('[7]TABLO-1'!Y4:Y32873,'[7]TABLO-1'!H4:H32873,"=Dağıtım-OG",'[7]TABLO-1'!J4:J32873,"=Şebeke İşletmecisi",'[7]TABLO-1'!K4:K32873,"=Bildirimsiz",'[7]TABLO-1'!I4:I32873,"=Uzun")/P8</f>
        <v>60.013544949849056</v>
      </c>
      <c r="K8" s="10">
        <f>SUMIFS('[7]TABLO-1'!Z4:Z32873,'[7]TABLO-1'!H4:H32873,"=Dağıtım-OG",'[7]TABLO-1'!J4:J32873,"=Şebeke İşletmecisi",'[7]TABLO-1'!K4:K32873,"=Bildirimsiz",'[7]TABLO-1'!I4:I32873,"=Uzun")/P14</f>
        <v>70.357155377817747</v>
      </c>
      <c r="L8" s="10">
        <f t="shared" si="2"/>
        <v>70.107903640396401</v>
      </c>
      <c r="M8" s="11">
        <f t="shared" si="3"/>
        <v>27.684116304015337</v>
      </c>
      <c r="O8" s="20" t="s">
        <v>36</v>
      </c>
      <c r="P8" s="53">
        <v>4442</v>
      </c>
      <c r="Q8" s="53"/>
    </row>
    <row r="9" spans="2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SUMIFS('[7]TABLO-1'!U4:U32873,'[7]TABLO-1'!H4:H32873,"=Dağıtım-OG",'[7]TABLO-1'!J4:J32873,"=Dışsal",'[7]TABLO-1'!K4:K32873,"=Bildirimsiz",'[7]TABLO-1'!I4:I32873,"=Uzun")/P6</f>
        <v>2.0811404932020166</v>
      </c>
      <c r="E9" s="10">
        <f>SUMIFS('[7]TABLO-1'!V4:V32873,'[7]TABLO-1'!H4:H32873,"=Dağıtım-OG",'[7]TABLO-1'!J4:J32873,"=Dışsal",'[7]TABLO-1'!K4:K32873,"=Bildirimsiz",'[7]TABLO-1'!I4:I32873,"=Uzun")/P12</f>
        <v>1.1985495823493899</v>
      </c>
      <c r="F9" s="10">
        <f t="shared" si="0"/>
        <v>1.2044205302350934</v>
      </c>
      <c r="G9" s="10">
        <f>SUMIFS('[7]TABLO-1'!W4:W32873,'[7]TABLO-1'!H4:H32873,"=Dağıtım-OG",'[7]TABLO-1'!J4:J32873,"=Dışsal",'[7]TABLO-1'!K4:K32873,"=Bildirimsiz",'[7]TABLO-1'!I4:I32873,"=Uzun")/P7</f>
        <v>1.6992612293378966</v>
      </c>
      <c r="H9" s="10">
        <f>SUMIFS('[7]TABLO-1'!X4:X32873,'[7]TABLO-1'!H4:H32873,"=Dağıtım-OG",'[7]TABLO-1'!J4:J32873,"=Dışsal",'[7]TABLO-1'!K4:K32873,"=Bildirimsiz",'[7]TABLO-1'!I4:I32873,"=Uzun")/P13</f>
        <v>4.0164179212454822</v>
      </c>
      <c r="I9" s="10">
        <f t="shared" si="1"/>
        <v>3.9954544563979901</v>
      </c>
      <c r="J9" s="10">
        <f>SUMIFS('[7]TABLO-1'!Y4:Y32873,'[7]TABLO-1'!H4:H32873,"=Dağıtım-OG",'[7]TABLO-1'!J4:J32873,"=Dışsal",'[7]TABLO-1'!K4:K32873,"=Bildirimsiz",'[7]TABLO-1'!I4:I32873,"=Uzun")/P8</f>
        <v>1.7730939517304312</v>
      </c>
      <c r="K9" s="10">
        <f>SUMIFS('[7]TABLO-1'!Z4:Z32873,'[7]TABLO-1'!H4:H32873,"=Dağıtım-OG",'[7]TABLO-1'!J4:J32873,"=Dışsal",'[7]TABLO-1'!K4:K32873,"=Bildirimsiz",'[7]TABLO-1'!I4:I32873,"=Uzun")/P14</f>
        <v>1.2801958550573058</v>
      </c>
      <c r="L9" s="10">
        <f t="shared" si="2"/>
        <v>1.2920733042152177</v>
      </c>
      <c r="M9" s="11">
        <f t="shared" si="3"/>
        <v>1.619012458876363</v>
      </c>
      <c r="O9" s="20" t="s">
        <v>17</v>
      </c>
      <c r="P9" s="53">
        <f>P6+P7+P8</f>
        <v>12298</v>
      </c>
      <c r="Q9" s="53"/>
    </row>
    <row r="10" spans="2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Sebep",'[7]TABLO-1'!K4:K32873,"=Bildirimsiz",'[7]TABLO-1'!I4:I32873,"=Uzun")/P6</f>
        <v>0</v>
      </c>
      <c r="E10" s="10">
        <f>SUMIFS('[7]TABLO-1'!V4:V32873,'[7]TABLO-1'!H4:H32873,"=Dağıtım-OG",'[7]TABLO-1'!J4:J32873,"=Mücbir Sebep",'[7]TABLO-1'!K4:K32873,"=Bildirimsiz",'[7]TABLO-1'!I4:I32873,"=Uzun")/P12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Sebep",'[7]TABLO-1'!K4:K32873,"=Bildirimsiz",'[7]TABLO-1'!I4:I32873,"=Uzun")/P7</f>
        <v>0</v>
      </c>
      <c r="H10" s="10">
        <f>SUMIFS('[7]TABLO-1'!X4:X32873,'[7]TABLO-1'!H4:H32873,"=Dağıtım-OG",'[7]TABLO-1'!J4:J32873,"=Mücbir Sebep",'[7]TABLO-1'!K4:K32873,"=Bildirimsiz",'[7]TABLO-1'!I4:I32873,"=Uzun")/P13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Sebep",'[7]TABLO-1'!K4:K32873,"=Bildirimsiz",'[7]TABLO-1'!I4:I32873,"=Uzun")/P8</f>
        <v>0</v>
      </c>
      <c r="K10" s="10">
        <f>SUMIFS('[7]TABLO-1'!Z4:Z32873,'[7]TABLO-1'!H4:H32873,"=Dağıtım-OG",'[7]TABLO-1'!J4:J32873,"=Mücbir Sebep",'[7]TABLO-1'!K4:K32873,"=Bildirimsiz",'[7]TABLO-1'!I4:I32873,"=Uzun")/P14</f>
        <v>0</v>
      </c>
      <c r="L10" s="10">
        <f t="shared" si="2"/>
        <v>0</v>
      </c>
      <c r="M10" s="11">
        <f t="shared" si="3"/>
        <v>0</v>
      </c>
    </row>
    <row r="11" spans="2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SUMIFS('[7]TABLO-1'!U4:U32873,'[7]TABLO-1'!H4:H32873,"=Dağıtım-OG",'[7]TABLO-1'!J4:J32873,"=Güvenlik",'[7]TABLO-1'!K4:K32873,"=Bildirimsiz",'[7]TABLO-1'!I4:I32873,"=Uzun")/P6</f>
        <v>0</v>
      </c>
      <c r="E11" s="10">
        <f>SUMIFS('[7]TABLO-1'!V4:V32873,'[7]TABLO-1'!H4:H32873,"=Dağıtım-OG",'[7]TABLO-1'!J4:J32873,"=Güvenlik",'[7]TABLO-1'!K4:K32873,"=Bildirimsiz",'[7]TABLO-1'!I4:I32873,"=Uzun")/P12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SUMIFS('[7]TABLO-1'!W4:W32873,'[7]TABLO-1'!H4:H32873,"=Dağıtım-OG",'[7]TABLO-1'!J4:J32873,"=Güvenlik",'[7]TABLO-1'!K4:K32873,"=Bildirimsiz",'[7]TABLO-1'!I4:I32873,"=Uzun")/P7</f>
        <v>0</v>
      </c>
      <c r="H11" s="10">
        <f>SUMIFS('[7]TABLO-1'!X4:X32873,'[7]TABLO-1'!H4:H32873,"=Dağıtım-OG",'[7]TABLO-1'!J4:J32873,"=Güvenlik",'[7]TABLO-1'!K4:K32873,"=Bildirimsiz",'[7]TABLO-1'!I4:I32873,"=Uzun")/P13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SUMIFS('[7]TABLO-1'!Y4:Y32873,'[7]TABLO-1'!H4:H32873,"=Dağıtım-OG",'[7]TABLO-1'!J4:J32873,"=Güvenlik",'[7]TABLO-1'!K4:K32873,"=Bildirimsiz",'[7]TABLO-1'!I4:I32873,"=Uzun")/P8</f>
        <v>0</v>
      </c>
      <c r="K11" s="10">
        <f>SUMIFS('[7]TABLO-1'!Z4:Z32873,'[7]TABLO-1'!H4:H32873,"=Dağıtım-OG",'[7]TABLO-1'!J4:J32873,"=Güvenlik",'[7]TABLO-1'!K4:K32873,"=Bildirimsiz",'[7]TABLO-1'!I4:I32873,"=Uzun")/P14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2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İşletmecisi",'[7]TABLO-1'!K4:K32873,"=Bildirimsiz",'[7]TABLO-1'!I4:I32873,"=Uzun")/P6</f>
        <v>0</v>
      </c>
      <c r="E12" s="10">
        <f>SUMIFS('[7]TABLO-1'!V4:V32873,'[7]TABLO-1'!H4:H32873,"=Dağıtım-AG",'[7]TABLO-1'!J4:J32873,"=Şebeke işletmecisi",'[7]TABLO-1'!K4:K32873,"=Bildirimsiz",'[7]TABLO-1'!I4:I32873,"=Uzun")/P12</f>
        <v>4.0674027483991493</v>
      </c>
      <c r="F12" s="10">
        <f t="shared" si="0"/>
        <v>4.0403466012392499</v>
      </c>
      <c r="G12" s="12">
        <f>SUMIFS('[7]TABLO-1'!W4:W32873,'[7]TABLO-1'!H4:H32873,"=Dağıtım-AG",'[7]TABLO-1'!J4:J32873,"=Şebeke İşletmecisi",'[7]TABLO-1'!K4:K32873,"=Bildirimsiz",'[7]TABLO-1'!I4:I32873,"=Uzun")/P7</f>
        <v>0</v>
      </c>
      <c r="H12" s="10">
        <f>SUMIFS('[7]TABLO-1'!X4:X32873,'[7]TABLO-1'!H4:H32873,"=Dağıtım-AG",'[7]TABLO-1'!J4:J32873,"=Şebeke İşletmecisi",'[7]TABLO-1'!K4:K32873,"=Bildirimsiz",'[7]TABLO-1'!I4:I32873,"=Uzun")/P13</f>
        <v>4.177168024592671</v>
      </c>
      <c r="I12" s="10">
        <f t="shared" si="1"/>
        <v>4.1393769182115463</v>
      </c>
      <c r="J12" s="12">
        <f>SUMIFS('[7]TABLO-1'!Y4:Y32873,'[7]TABLO-1'!H4:H32873,"=Dağıtım-AG",'[7]TABLO-1'!J4:J32873,"=Şebeke İşletmecisi",'[7]TABLO-1'!K4:K32873,"=Bildirimsiz",'[7]TABLO-1'!I4:I32873,"=Uzun")/P8</f>
        <v>0</v>
      </c>
      <c r="K12" s="10">
        <f>SUMIFS('[7]TABLO-1'!Z4:Z32873,'[7]TABLO-1'!H4:H32873,"=Dağıtım-AG",'[7]TABLO-1'!J4:J32873,"=Şebeke İşletmecisi",'[7]TABLO-1'!K4:K32873,"=Bildirimsiz",'[7]TABLO-1'!I4:I32873,"=Uzun")/P14</f>
        <v>8.5971273984104446</v>
      </c>
      <c r="L12" s="10">
        <f t="shared" si="2"/>
        <v>8.389960959205407</v>
      </c>
      <c r="M12" s="11">
        <f t="shared" si="3"/>
        <v>4.6723285349338051</v>
      </c>
      <c r="O12" s="6" t="s">
        <v>33</v>
      </c>
      <c r="P12" s="42">
        <v>920482</v>
      </c>
      <c r="Q12" s="42"/>
    </row>
    <row r="13" spans="2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SUMIFS('[7]TABLO-1'!U4:U32873,'[7]TABLO-1'!H4:H32873,"=Dağıtım-AG",'[7]TABLO-1'!J4:J32873,"=Dışsal",'[7]TABLO-1'!K4:K32873,"=Bildirimsiz",'[7]TABLO-1'!I4:I32873,"=Uzun")/P6</f>
        <v>0</v>
      </c>
      <c r="E13" s="10">
        <f>SUMIFS('[7]TABLO-1'!V4:V32873,'[7]TABLO-1'!H4:H32873,"=Dağıtım-AG",'[7]TABLO-1'!J4:J32873,"=Dışsal",'[7]TABLO-1'!K4:K32873,"=Bildirimsiz",'[7]TABLO-1'!I4:I32873,"=Uzun")/P12</f>
        <v>0.19063584802658581</v>
      </c>
      <c r="F13" s="10">
        <f t="shared" si="0"/>
        <v>0.1893677484856221</v>
      </c>
      <c r="G13" s="12">
        <f>SUMIFS('[7]TABLO-1'!W4:W32873,'[7]TABLO-1'!H4:H32873,"=Dağıtım-AG",'[7]TABLO-1'!J4:J32873,"=Dışsal",'[7]TABLO-1'!K4:K32873,"=Bildirimsiz",'[7]TABLO-1'!I4:I32873,"=Uzun")/P7</f>
        <v>0</v>
      </c>
      <c r="H13" s="10">
        <f>SUMIFS('[7]TABLO-1'!X4:X32873,'[7]TABLO-1'!H4:H32873,"=Dağıtım-AG",'[7]TABLO-1'!J4:J32873,"=Dışsal",'[7]TABLO-1'!K4:K32873,"=Bildirimsiz",'[7]TABLO-1'!I4:I32873,"=Uzun")/P13</f>
        <v>0.19072240508677801</v>
      </c>
      <c r="I13" s="10">
        <f t="shared" si="1"/>
        <v>0.18899692728519943</v>
      </c>
      <c r="J13" s="12">
        <f>SUMIFS('[7]TABLO-1'!Y4:Y32873,'[7]TABLO-1'!H4:H32873,"=Dağıtım-AG",'[7]TABLO-1'!J4:J32873,"=Dışsal",'[7]TABLO-1'!K4:K32873,"=Bildirimsiz",'[7]TABLO-1'!I4:I32873,"=Uzun")/P8</f>
        <v>0</v>
      </c>
      <c r="K13" s="10">
        <f>SUMIFS('[7]TABLO-1'!Z4:Z32873,'[7]TABLO-1'!H4:H32873,"=Dağıtım-AG",'[7]TABLO-1'!J4:J32873,"=Dışsal",'[7]TABLO-1'!K4:K32873,"=Bildirimsiz",'[7]TABLO-1'!I4:I32873,"=Uzun")/P14</f>
        <v>0.38615599840285841</v>
      </c>
      <c r="L13" s="10">
        <f t="shared" si="2"/>
        <v>0.37685073171789829</v>
      </c>
      <c r="M13" s="11">
        <f t="shared" si="3"/>
        <v>0.21593983330620647</v>
      </c>
      <c r="O13" s="6" t="s">
        <v>35</v>
      </c>
      <c r="P13" s="42">
        <v>185330</v>
      </c>
      <c r="Q13" s="42"/>
    </row>
    <row r="14" spans="2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Sebep",'[7]TABLO-1'!K4:K32873,"=Bildirimsiz",'[7]TABLO-1'!I4:I32873,"=Uzun")/P6</f>
        <v>0</v>
      </c>
      <c r="E14" s="10">
        <f>SUMIFS('[7]TABLO-1'!V4:V32873,'[7]TABLO-1'!H4:H32873,"=Dağıtım-AG",'[7]TABLO-1'!J4:J32873,"=Mücbir Sebep",'[7]TABLO-1'!K4:K32873,"=Bildirimsiz",'[7]TABLO-1'!I4:I32873,"=Uzun")/P12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Sebep",'[7]TABLO-1'!K4:K32873,"=Bildirimsiz",'[7]TABLO-1'!I4:I32873,"=Uzun")/P7</f>
        <v>0</v>
      </c>
      <c r="H14" s="10">
        <f>SUMIFS('[7]TABLO-1'!X4:X32873,'[7]TABLO-1'!H4:H32873,"=Dağıtım-AG",'[7]TABLO-1'!J4:J32873,"=Mücbir Sebep",'[7]TABLO-1'!K4:K32873,"=Bildirimsiz",'[7]TABLO-1'!I4:I32873,"=Uzun")/P13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Sebep",'[7]TABLO-1'!K4:K32873,"=Bildirimsiz",'[7]TABLO-1'!I4:I32873,"=Uzun")/P8</f>
        <v>0</v>
      </c>
      <c r="K14" s="10">
        <f>SUMIFS('[7]TABLO-1'!Z4:Z32873,'[7]TABLO-1'!H4:H32873,"=Dağıtım-AG",'[7]TABLO-1'!J4:J32873,"=Mücbir Sebep",'[7]TABLO-1'!K4:K32873,"=Bildirimsiz",'[7]TABLO-1'!I4:I32873,"=Uzun")/P14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179895</v>
      </c>
      <c r="Q14" s="42"/>
    </row>
    <row r="15" spans="2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SUMIFS('[7]TABLO-1'!U4:U32873,'[7]TABLO-1'!H4:H32873,"=Dağıtım-AG",'[7]TABLO-1'!J4:J32873,"=Güvenlik",'[7]TABLO-1'!K4:K32873,"=Bildirimsiz",'[7]TABLO-1'!I4:I32873,"=Uzun")/P6</f>
        <v>0</v>
      </c>
      <c r="E15" s="10">
        <f>SUMIFS('[7]TABLO-1'!V4:V32873,'[7]TABLO-1'!H4:H32873,"=Dağıtım-AG",'[7]TABLO-1'!J4:J32873,"=Güvenlik",'[7]TABLO-1'!K4:K32873,"=Bildirimsiz",'[7]TABLO-1'!I4:I32873,"=Uzun")/P12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SUMIFS('[7]TABLO-1'!W4:W32873,'[7]TABLO-1'!H4:H32873,"=Dağıtım-AG",'[7]TABLO-1'!J4:J32873,"=Güvenlik",'[7]TABLO-1'!K4:K32873,"=Bildirimsiz",'[7]TABLO-1'!I4:I32873,"=Uzun")/P7</f>
        <v>0</v>
      </c>
      <c r="H15" s="10">
        <f>SUMIFS('[7]TABLO-1'!X4:X32873,'[7]TABLO-1'!H4:H32873,"=Dağıtım-AG",'[7]TABLO-1'!J4:J32873,"=Güvenlik",'[7]TABLO-1'!K4:K32873,"=Bildirimsiz",'[7]TABLO-1'!I4:I32873,"=Uzun")/P13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SUMIFS('[7]TABLO-1'!Y4:Y32873,'[7]TABLO-1'!H4:H32873,"=Dağıtım-AG",'[7]TABLO-1'!J4:J32873,"=Güvenlik",'[7]TABLO-1'!K4:K32873,"=Bildirimsiz",'[7]TABLO-1'!I4:I32873,"=Uzun")/P8</f>
        <v>0</v>
      </c>
      <c r="K15" s="10">
        <f>SUMIFS('[7]TABLO-1'!Z4:Z32873,'[7]TABLO-1'!H4:H32873,"=Dağıtım-AG",'[7]TABLO-1'!J4:J32873,"=Güvenlik",'[7]TABLO-1'!K4:K32873,"=Bildirimsiz",'[7]TABLO-1'!I4:I32873,"=Uzun")/P14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1285707</v>
      </c>
      <c r="Q15" s="42"/>
    </row>
    <row r="16" spans="2:17" ht="15" customHeight="1" thickBot="1" x14ac:dyDescent="0.3">
      <c r="B16" s="60" t="s">
        <v>20</v>
      </c>
      <c r="C16" s="61"/>
      <c r="D16" s="10">
        <f t="shared" ref="D16:M16" si="4">SUM(D6:D15)</f>
        <v>25.647239346544406</v>
      </c>
      <c r="E16" s="10">
        <f t="shared" si="4"/>
        <v>25.498079683469452</v>
      </c>
      <c r="F16" s="10">
        <f t="shared" si="4"/>
        <v>25.499071885629927</v>
      </c>
      <c r="G16" s="10">
        <f t="shared" si="4"/>
        <v>36.655663908898902</v>
      </c>
      <c r="H16" s="10">
        <f t="shared" si="4"/>
        <v>31.902116494652908</v>
      </c>
      <c r="I16" s="10">
        <f t="shared" si="4"/>
        <v>31.945122142250007</v>
      </c>
      <c r="J16" s="10">
        <f>SUM(J6:J15)</f>
        <v>61.847122167362116</v>
      </c>
      <c r="K16" s="10">
        <f>SUM(K6:K15)</f>
        <v>80.6983320828149</v>
      </c>
      <c r="L16" s="10">
        <f>SUM(L6:L15)</f>
        <v>80.244071275465089</v>
      </c>
      <c r="M16" s="11">
        <f t="shared" si="4"/>
        <v>34.202491490036422</v>
      </c>
    </row>
    <row r="17" spans="2:16" ht="15" customHeight="1" x14ac:dyDescent="0.25">
      <c r="B17" s="29"/>
      <c r="O17" s="50" t="s">
        <v>37</v>
      </c>
      <c r="P17" s="47">
        <f>P6+P12</f>
        <v>926646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187022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İşletmecisi",'[7]TABLO-1'!K4:K32873,"=Bildirimli",'[7]TABLO-1'!I4:I32873,"=Uzun")/P6</f>
        <v>6.997350205520457E-2</v>
      </c>
      <c r="E21" s="10">
        <f>SUMIFS('[7]TABLO-1'!V4:V32873,'[7]TABLO-1'!H4:H32873,"=İletim",'[7]TABLO-1'!J4:J32873,"=Şebeke İşletmecisi",'[7]TABLO-1'!K4:K32873,"=Bildirimli",'[7]TABLO-1'!I4:I32873,"=Uzun")/P12</f>
        <v>4.947625265889459E-2</v>
      </c>
      <c r="F21" s="10">
        <f>IFERROR((((D21*$P$6)+(E21*$P$12))/$P$17),"0,00")</f>
        <v>4.9612599273760306E-2</v>
      </c>
      <c r="G21" s="10">
        <f>SUMIFS('[7]TABLO-1'!W4:W32873,'[7]TABLO-1'!H4:H32873,"=İletim",'[7]TABLO-1'!J4:J32873,"=Şebeke İşletmecisi",'[7]TABLO-1'!K4:K32873,"=Bildirimli",'[7]TABLO-1'!I4:I32873,"=Uzun")/P7</f>
        <v>7.0997734435467406</v>
      </c>
      <c r="H21" s="10">
        <f>SUMIFS('[7]TABLO-1'!X4:X32873,'[7]TABLO-1'!H4:H32873,"=İletim",'[7]TABLO-1'!J4:J32873,"=Şebeke İşletmecisi",'[7]TABLO-1'!K4:K32873,"=Bildirimli",'[7]TABLO-1'!I4:I32873,"=Uzun")/P13</f>
        <v>3.3951114228155381</v>
      </c>
      <c r="I21" s="10">
        <f>IFERROR((((G21*$P$7)+(H21*$P$13))/$P$20),"0,00")</f>
        <v>3.4286277371479543</v>
      </c>
      <c r="J21" s="10">
        <f>SUMIFS('[7]TABLO-1'!Y4:Y32873,'[7]TABLO-1'!H4:H32873,"=İletim",'[7]TABLO-1'!J4:J32873,"=Şebeke İşletmecisi",'[7]TABLO-1'!K4:K32873,"=Bildirimli",'[7]TABLO-1'!I4:I32873,"=Uzun")/P8</f>
        <v>6.9517597177358175</v>
      </c>
      <c r="K21" s="10">
        <f>SUMIFS('[7]TABLO-1'!Z4:Z32873,'[7]TABLO-1'!H4:H32873,"=İletim",'[7]TABLO-1'!J4:J32873,"=Şebeke İşletmecisi",'[7]TABLO-1'!K4:K32873,"=Bildirimli",'[7]TABLO-1'!I4:I32873,"=Uzun")/P14</f>
        <v>8.9467344838642227</v>
      </c>
      <c r="L21" s="10">
        <f>IFERROR((((J21*$P$8)+(K21*$P$14))/$P$23),"0,00")</f>
        <v>8.898661238063637</v>
      </c>
      <c r="M21" s="11">
        <f>IFERROR((((F21*$P$17)+(I21*$P$20)+(L21*$P$23))/$P$26),"0,00")</f>
        <v>1.7931784931217172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İşletmecisi",'[7]TABLO-1'!K4:K32873,"=Bildirimli",'[7]TABLO-1'!I4:I32873,"=Uzun")/P6</f>
        <v>35.354723664273195</v>
      </c>
      <c r="E22" s="10">
        <f>SUMIFS('[7]TABLO-1'!V4:V32873,'[7]TABLO-1'!H4:H32873,"=Dağıtım-OG",'[7]TABLO-1'!J4:J32873,"=Şebeke İşletmecisi",'[7]TABLO-1'!K4:K32873,"=Bildirimli",'[7]TABLO-1'!I4:I32873,"=Uzun")/P12</f>
        <v>18.28320685979353</v>
      </c>
      <c r="F22" s="10">
        <f t="shared" ref="F22:F25" si="5">IFERROR((((D22*$P$6)+(E22*$P$12))/$P$17),"0,00")</f>
        <v>18.396765683317092</v>
      </c>
      <c r="G22" s="10">
        <f>SUMIFS('[7]TABLO-1'!W4:W32873,'[7]TABLO-1'!H4:H32873,"=Dağıtım-OG",'[7]TABLO-1'!J4:J32873,"=Şebeke İşletmecisi",'[7]TABLO-1'!K4:K32873,"=Bildirimli",'[7]TABLO-1'!I4:I32873,"=Uzun")/P7</f>
        <v>24.822468479118122</v>
      </c>
      <c r="H22" s="10">
        <f>SUMIFS('[7]TABLO-1'!X4:X32873,'[7]TABLO-1'!H4:H32873,"=Dağıtım-OG",'[7]TABLO-1'!J4:J32873,"=Şebeke İşletmecisi",'[7]TABLO-1'!K4:K32873,"=Bildirimli",'[7]TABLO-1'!I4:I32873,"=Uzun")/P13</f>
        <v>41.579679310959868</v>
      </c>
      <c r="I22" s="10">
        <f t="shared" ref="I22:I25" si="6">IFERROR((((G22*$P$7)+(H22*$P$13))/$P$20),"0,00")</f>
        <v>41.428075752408063</v>
      </c>
      <c r="J22" s="10">
        <f>SUMIFS('[7]TABLO-1'!Y4:Y32873,'[7]TABLO-1'!H4:H32873,"=Dağıtım-OG",'[7]TABLO-1'!J4:J32873,"=Şebeke İşletmecisi",'[7]TABLO-1'!K4:K32873,"=Bildirimli",'[7]TABLO-1'!I4:I32873,"=Uzun")/P8</f>
        <v>40.599774875819804</v>
      </c>
      <c r="K22" s="10">
        <f>SUMIFS('[7]TABLO-1'!Z4:Z32873,'[7]TABLO-1'!H4:H32873,"=Dağıtım-OG",'[7]TABLO-1'!J4:J32873,"=Şebeke İşletmecisi",'[7]TABLO-1'!K4:K32873,"=Bildirimli",'[7]TABLO-1'!I4:I32873,"=Uzun")/P14</f>
        <v>53.013837515631018</v>
      </c>
      <c r="L22" s="10">
        <f t="shared" ref="L22:L25" si="7">IFERROR((((J22*$P$8)+(K22*$P$14))/$P$23),"0,00")</f>
        <v>52.714693739579324</v>
      </c>
      <c r="M22" s="11">
        <f t="shared" ref="M22:M25" si="8">IFERROR((((F22*$P$17)+(I22*$P$20)+(L22*$P$23))/$P$26),"0,00")</f>
        <v>26.588895587168572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SUMIFS('[7]TABLO-1'!U4:U32873,'[7]TABLO-1'!H4:H32873,"=Dağıtım-OG",'[7]TABLO-1'!J4:J32873,"=Güvenlik",'[7]TABLO-1'!K4:K32873,"=Bildirimli",'[7]TABLO-1'!I4:I32873,"=Uzun")/P6</f>
        <v>0</v>
      </c>
      <c r="E23" s="10">
        <f>SUMIFS('[7]TABLO-1'!V4:V32873,'[7]TABLO-1'!H4:H32873,"=Dağıtım-OG",'[7]TABLO-1'!J4:J32873,"=Güvenlik",'[7]TABLO-1'!K4:K32873,"=Bildirimli",'[7]TABLO-1'!I4:I32873,"=Uzun")/P12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SUMIFS('[7]TABLO-1'!W4:W32873,'[7]TABLO-1'!H4:H32873,"=Dağıtım-OG",'[7]TABLO-1'!J4:J32873,"=Güvenlik",'[7]TABLO-1'!K4:K32873,"=Bildirimli",'[7]TABLO-1'!I4:I32873,"=Uzun")/P7</f>
        <v>0</v>
      </c>
      <c r="H23" s="10">
        <f>SUMIFS('[7]TABLO-1'!X4:X32873,'[7]TABLO-1'!H4:H32873,"=Dağıtım-OG",'[7]TABLO-1'!J4:J32873,"=Güvenlik",'[7]TABLO-1'!K4:K32873,"=Bildirimli",'[7]TABLO-1'!I4:I32873,"=Uzun")/P13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SUMIFS('[7]TABLO-1'!Y4:Y32873,'[7]TABLO-1'!H4:H32873,"=Dağıtım-OG",'[7]TABLO-1'!J4:J32873,"=Güvenlik",'[7]TABLO-1'!K4:K32873,"=Bildirimli",'[7]TABLO-1'!I4:I32873,"=Uzun")/P8</f>
        <v>0</v>
      </c>
      <c r="K23" s="10">
        <f>SUMIFS('[7]TABLO-1'!Z4:Z32873,'[7]TABLO-1'!H4:H32873,"=Dağıtım-OG",'[7]TABLO-1'!J4:J32873,"=Güvenlik",'[7]TABLO-1'!K4:K32873,"=Bildirimli",'[7]TABLO-1'!I4:I32873,"=Uzun")/P14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P14+P8</f>
        <v>184337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İşletmecisi",'[7]TABLO-1'!K4:K32873,"=Bildirimli",'[7]TABLO-1'!I4:I32873,"=Uzun")/P6</f>
        <v>0</v>
      </c>
      <c r="E24" s="10">
        <f>SUMIFS('[7]TABLO-1'!V4:V32873,'[7]TABLO-1'!H4:H32873,"=Dağıtım-AG",'[7]TABLO-1'!J4:J32873,"=Şebeke İşletmecisi",'[7]TABLO-1'!K4:K32873,"=Bildirimli",'[7]TABLO-1'!I4:I32873,"=Uzun")/P12</f>
        <v>1.0095645361255889</v>
      </c>
      <c r="F24" s="10">
        <f t="shared" si="5"/>
        <v>1.0028489664251012</v>
      </c>
      <c r="G24" s="12">
        <f>SUMIFS('[7]TABLO-1'!W4:W32873,'[7]TABLO-1'!H4:H32873,"=Dağıtım-AG",'[7]TABLO-1'!J4:J32873,"=Şebeke İşletmecisi",'[7]TABLO-1'!K4:K32873,"=Bildirimli",'[7]TABLO-1'!I4:I32873,"=Uzun")/P7</f>
        <v>0</v>
      </c>
      <c r="H24" s="10">
        <f>SUMIFS('[7]TABLO-1'!X4:X32873,'[7]TABLO-1'!H4:H32873,"=Dağıtım-AG",'[7]TABLO-1'!J4:J32873,"=Şebeke İşletmecisi",'[7]TABLO-1'!K4:K32873,"=Bildirimli",'[7]TABLO-1'!I4:I32873,"=Uzun")/P13</f>
        <v>5.504343423468077</v>
      </c>
      <c r="I24" s="10">
        <f t="shared" si="6"/>
        <v>5.4545452763382851</v>
      </c>
      <c r="J24" s="12">
        <f>SUMIFS('[7]TABLO-1'!Y4:Y32873,'[7]TABLO-1'!H4:H32873,"=Dağıtım-AG",'[7]TABLO-1'!J4:J32873,"=Şebeke İşletmecisi",'[7]TABLO-1'!K4:K32873,"=Bildirimli",'[7]TABLO-1'!I4:I32873,"=Uzun")/P8</f>
        <v>0</v>
      </c>
      <c r="K24" s="10">
        <f>SUMIFS('[7]TABLO-1'!Z4:Z32873,'[7]TABLO-1'!H4:H32873,"=Dağıtım-AG",'[7]TABLO-1'!J4:J32873,"=Şebeke İşletmecisi",'[7]TABLO-1'!K4:K32873,"=Bildirimli",'[7]TABLO-1'!I4:I32873,"=Uzun")/P14</f>
        <v>4.0997055689956845</v>
      </c>
      <c r="L24" s="10">
        <f t="shared" si="7"/>
        <v>4.0009142675343456</v>
      </c>
      <c r="M24" s="11">
        <f t="shared" si="8"/>
        <v>2.0700401642118265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SUMIFS('[7]TABLO-1'!U4:U32873,'[7]TABLO-1'!H4:H32873,"=Dağıtım-AG",'[7]TABLO-1'!J4:J32873,"=Güvenlik",'[7]TABLO-1'!K4:K32873,"=Bildirimli",'[7]TABLO-1'!I4:I32873,"=Uzun")/P6</f>
        <v>0</v>
      </c>
      <c r="E25" s="10">
        <f>SUMIFS('[7]TABLO-1'!V4:V32873,'[7]TABLO-1'!H4:H32873,"=Dağıtım-AG",'[7]TABLO-1'!J4:J32873,"=Güvenlik",'[7]TABLO-1'!K4:K32873,"=Bildirimli",'[7]TABLO-1'!I4:I32873,"=Uzun")/P12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SUMIFS('[7]TABLO-1'!W4:W32873,'[7]TABLO-1'!H4:H32873,"=Dağıtım-AG",'[7]TABLO-1'!J4:J32873,"=Güvenlik",'[7]TABLO-1'!K4:K32873,"=Bildirimli",'[7]TABLO-1'!I4:I32873,"=Uzun")/P7</f>
        <v>0</v>
      </c>
      <c r="H25" s="10">
        <f>SUMIFS('[7]TABLO-1'!X4:X32873,'[7]TABLO-1'!H4:H32873,"=Dağıtım-AG",'[7]TABLO-1'!J4:J32873,"=Güvenlik",'[7]TABLO-1'!K4:K32873,"=Bildirimli",'[7]TABLO-1'!I4:I32873,"=Uzun")/P13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SUMIFS('[7]TABLO-1'!Y4:Y32873,'[7]TABLO-1'!H4:H32873,"=Dağıtım-AG",'[7]TABLO-1'!J4:J32873,"=Güvenlik",'[7]TABLO-1'!K4:K32873,"=Bildirimli",'[7]TABLO-1'!I4:I32873,"=Uzun")/P8</f>
        <v>0</v>
      </c>
      <c r="K25" s="10">
        <f>SUMIFS('[7]TABLO-1'!Z4:Z32873,'[7]TABLO-1'!H4:H32873,"=Dağıtım-AG",'[7]TABLO-1'!J4:J32873,"=Güvenlik",'[7]TABLO-1'!K4:K32873,"=Bildirimli",'[7]TABLO-1'!I4:I32873,"=Uzun")/P14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35.4246971663284</v>
      </c>
      <c r="E26" s="10">
        <f t="shared" ref="E26:M26" si="9">SUM(E21:E25)</f>
        <v>19.342247648578013</v>
      </c>
      <c r="F26" s="10">
        <f t="shared" si="9"/>
        <v>19.449227249015955</v>
      </c>
      <c r="G26" s="10">
        <f t="shared" si="9"/>
        <v>31.922241922664863</v>
      </c>
      <c r="H26" s="10">
        <f t="shared" si="9"/>
        <v>50.479134157243486</v>
      </c>
      <c r="I26" s="10">
        <f t="shared" si="9"/>
        <v>50.311248765894305</v>
      </c>
      <c r="J26" s="10">
        <f t="shared" si="9"/>
        <v>47.551534593555623</v>
      </c>
      <c r="K26" s="10">
        <f t="shared" si="9"/>
        <v>66.060277568490932</v>
      </c>
      <c r="L26" s="10">
        <f t="shared" si="9"/>
        <v>65.614269245177312</v>
      </c>
      <c r="M26" s="11">
        <f t="shared" si="9"/>
        <v>30.452114244502116</v>
      </c>
      <c r="O26" s="43" t="s">
        <v>22</v>
      </c>
      <c r="P26" s="44">
        <f>P20+P17+P23</f>
        <v>1298005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İşletmecisi",'[7]TABLO-1'!K4:K32873,"=Bildirimsiz",'[7]TABLO-1'!I4:I32873,"=Uzun")/P6</f>
        <v>0</v>
      </c>
      <c r="E31" s="10">
        <f>SUMIFS('[7]TABLO-1'!P4:P32873,'[7]TABLO-1'!H4:H32873,"=İletim",'[7]TABLO-1'!J4:J32873,"=Şebeke İşletmecisi",'[7]TABLO-1'!K4:K32873,"=Bildirimsiz",'[7]TABLO-1'!I4:I32873,"=Uzun")/P12</f>
        <v>1.4123035540075743E-5</v>
      </c>
      <c r="F31" s="10">
        <f>IFERROR((((D31*$P$6)+(E31*$P$12))/$P$17),"0,00")</f>
        <v>1.4029089857399698E-5</v>
      </c>
      <c r="G31" s="10">
        <f>SUMIFS('[7]TABLO-1'!Q4:Q32873,'[7]TABLO-1'!H4:H32873,"=İletim",'[7]TABLO-1'!J4:J32873,"=Şebeke İşletmecisi",'[7]TABLO-1'!K4:K32873,"=Bildirimsiz",'[7]TABLO-1'!I4:I32873,"=Uzun")/P7</f>
        <v>5.9101654846335696E-3</v>
      </c>
      <c r="H31" s="10">
        <f>SUMIFS('[7]TABLO-1'!R4:R32873,'[7]TABLO-1'!H4:H32873,"=İletim",'[7]TABLO-1'!J4:J32873,"=Şebeke İşletmecisi",'[7]TABLO-1'!K4:K32873,"=Bildirimsiz",'[7]TABLO-1'!I4:I32873,"=Uzun")/P13</f>
        <v>0</v>
      </c>
      <c r="I31" s="10">
        <f>IFERROR((((G31*$P$7)+(H31*$P$13))/$P$20),"0,00")</f>
        <v>5.3469645282373195E-5</v>
      </c>
      <c r="J31" s="10">
        <f>SUMIFS('[7]TABLO-1'!S4:S32873,'[7]TABLO-1'!H4:H32873,"=İletim",'[7]TABLO-1'!J4:J32873,"=Şebeke İşletmecisi",'[7]TABLO-1'!K4:K32873,"=Bildirimsiz",'[7]TABLO-1'!I4:I32873,"=Uzun")/P8</f>
        <v>9.0049527239981983E-3</v>
      </c>
      <c r="K31" s="10">
        <f>SUMIFS('[7]TABLO-1'!T4:T32873,'[7]TABLO-1'!H4:H32873,"=İletim",'[7]TABLO-1'!J4:J32873,"=Şebeke İşletmecisi",'[7]TABLO-1'!K4:K32873,"=bildirimsiz",'[7]TABLO-1'!I4:I32873,"=Uzun")/P14</f>
        <v>1.1567859028877957E-2</v>
      </c>
      <c r="L31" s="10">
        <f>IFERROR((((J31*$P$8)+(K31*$P$14))/$P$23),"0,00")</f>
        <v>1.1506100240320716E-2</v>
      </c>
      <c r="M31" s="11">
        <f>IFERROR((((F31*$P$17)+(I31*$P$20)+(L31*$P$23))/$P$26),"0,00")</f>
        <v>1.6517655941232891E-3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Sebep",'[7]TABLO-1'!K4:K32873,"=Bildirimsiz",'[7]TABLO-1'!I4:I32873,"=Uzun")/P6</f>
        <v>0</v>
      </c>
      <c r="E32" s="10">
        <f>SUMIFS('[7]TABLO-1'!P4:P32873,'[7]TABLO-1'!H4:H32873,"=İletim",'[7]TABLO-1'!J4:J32873,"=Mücbir Sebep",'[7]TABLO-1'!K4:K32873,"=Bildirimsiz",'[7]TABLO-1'!I4:I32873,"=Uzun")/P12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Sebep",'[7]TABLO-1'!K4:K32873,"=Bildirimsiz",'[7]TABLO-1'!I4:I32873,"=Uzun")/P7</f>
        <v>0</v>
      </c>
      <c r="H32" s="10">
        <f>SUMIFS('[7]TABLO-1'!R4:R32873,'[7]TABLO-1'!H4:H32873,"=İletim",'[7]TABLO-1'!J4:J32873,"=Mücbir Sebep",'[7]TABLO-1'!K4:K32873,"=Bildirimsiz",'[7]TABLO-1'!I4:I32873,"=Uzun")/P13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Sebep",'[7]TABLO-1'!K4:K32873,"=Bildirimsiz",'[7]TABLO-1'!I4:I32873,"=Uzun")/P8</f>
        <v>0</v>
      </c>
      <c r="K32" s="10">
        <f>SUMIFS('[7]TABLO-1'!T4:T32873,'[7]TABLO-1'!H4:H32873,"=İletim",'[7]TABLO-1'!J4:J32873,"=Mücbir Sebep",'[7]TABLO-1'!K4:K32873,"=bildirimsiz",'[7]TABLO-1'!I4:I32873,"=Uzun")/P14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İşletmecisi",'[7]TABLO-1'!K4:K32873,"=Bildirimsiz",'[7]TABLO-1'!I4:I32873,"=Uzun")/P6</f>
        <v>0.4910772225827385</v>
      </c>
      <c r="E33" s="10">
        <f>SUMIFS('[7]TABLO-1'!P4:P32873,'[7]TABLO-1'!H4:H32873,"=Dağıtım-OG",'[7]TABLO-1'!J4:J32873,"=Şebeke İşletmecisi",'[7]TABLO-1'!K4:K32873,"=Bildirimsiz",'[7]TABLO-1'!I4:I32873,"=Uzun")/P12</f>
        <v>0.62376667876177916</v>
      </c>
      <c r="F33" s="10">
        <f t="shared" si="10"/>
        <v>0.62288403554323868</v>
      </c>
      <c r="G33" s="10">
        <f>SUMIFS('[7]TABLO-1'!Q4:Q32873,'[7]TABLO-1'!H4:H32873,"=Dağıtım-OG",'[7]TABLO-1'!J4:J32873,"=Şebeke İşletmecisi",'[7]TABLO-1'!K4:K32873,"=Bildirimsiz",'[7]TABLO-1'!I4:I32873,"=Uzun")/P7</f>
        <v>0.67966903073286056</v>
      </c>
      <c r="H33" s="10">
        <f>SUMIFS('[7]TABLO-1'!R4:R32873,'[7]TABLO-1'!H4:H32873,"=Dağıtım-OG",'[7]TABLO-1'!J4:J32873,"=Şebeke İşletmecisi",'[7]TABLO-1'!K4:K32873,"=Bildirimsiz",'[7]TABLO-1'!I4:I32873,"=Uzun")/P13</f>
        <v>0.65861975934818973</v>
      </c>
      <c r="I33" s="10">
        <f t="shared" si="11"/>
        <v>0.6588101934531766</v>
      </c>
      <c r="J33" s="10">
        <f>SUMIFS('[7]TABLO-1'!S4:S32873,'[7]TABLO-1'!H4:H32873,"=Dağıtım-OG",'[7]TABLO-1'!J4:J32873,"=Şebeke İşletmecisi",'[7]TABLO-1'!K4:K32873,"=Bildirimsiz",'[7]TABLO-1'!I4:I32873,"=Uzun")/P8</f>
        <v>1.3491670418730302</v>
      </c>
      <c r="K33" s="10">
        <f>SUMIFS('[7]TABLO-1'!T4:T32873,'[7]TABLO-1'!H4:H32873,"=Dağıtım-OG",'[7]TABLO-1'!J4:J32873,"=Şebeke İşletmecisi",'[7]TABLO-1'!K4:K32873,"=bildirimsiz",'[7]TABLO-1'!I4:I32873,"=Uzun")/P14</f>
        <v>1.5647461018927709</v>
      </c>
      <c r="L33" s="10">
        <f t="shared" si="12"/>
        <v>1.5595512566657805</v>
      </c>
      <c r="M33" s="11">
        <f t="shared" si="13"/>
        <v>0.76108181401458397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SUMIFS('[7]TABLO-1'!O4:O32873,'[7]TABLO-1'!H4:H32873,"=Dağıtım-OG",'[7]TABLO-1'!J4:J32873,"=Dışsal",'[7]TABLO-1'!K4:K32873,"=Bildirimsiz",'[7]TABLO-1'!I4:I32873,"=Uzun")/P6</f>
        <v>1.0382868267358857E-2</v>
      </c>
      <c r="E34" s="10">
        <f>SUMIFS('[7]TABLO-1'!P4:P32873,'[7]TABLO-1'!H4:H32873,"=Dağıtım-OG",'[7]TABLO-1'!J4:J32873,"=Dışsal",'[7]TABLO-1'!K4:K32873,"=Bildirimsiz",'[7]TABLO-1'!I4:I32873,"=Uzun")/P12</f>
        <v>4.3086122270723382E-3</v>
      </c>
      <c r="F34" s="10">
        <f t="shared" si="10"/>
        <v>4.3490178557939064E-3</v>
      </c>
      <c r="G34" s="10">
        <f>SUMIFS('[7]TABLO-1'!Q4:Q32873,'[7]TABLO-1'!H4:H32873,"=Dağıtım-OG",'[7]TABLO-1'!J4:J32873,"=Dışsal",'[7]TABLO-1'!K4:K32873,"=Bildirimsiz",'[7]TABLO-1'!I4:I32873,"=Uzun")/P7</f>
        <v>7.6832151300236405E-3</v>
      </c>
      <c r="H34" s="10">
        <f>SUMIFS('[7]TABLO-1'!R4:R32873,'[7]TABLO-1'!H4:H32873,"=Dağıtım-OG",'[7]TABLO-1'!J4:J32873,"=Dışsal",'[7]TABLO-1'!K4:K32873,"=Bildirimsiz",'[7]TABLO-1'!I4:I32873,"=Uzun")/P13</f>
        <v>2.0315113581179517E-2</v>
      </c>
      <c r="I34" s="10">
        <f t="shared" si="11"/>
        <v>2.0200831987680593E-2</v>
      </c>
      <c r="J34" s="10">
        <f>SUMIFS('[7]TABLO-1'!S4:S32873,'[7]TABLO-1'!H4:H32873,"=Dağıtım-OG",'[7]TABLO-1'!J4:J32873,"=Dışsal",'[7]TABLO-1'!K4:K32873,"=Bildirimsiz",'[7]TABLO-1'!I4:I32873,"=Uzun")/P8</f>
        <v>1.2832057631697433E-2</v>
      </c>
      <c r="K34" s="10">
        <f>SUMIFS('[7]TABLO-1'!T4:T32873,'[7]TABLO-1'!H4:H32873,"=Dağıtım-OG",'[7]TABLO-1'!J4:J32873,"=Dışsal",'[7]TABLO-1'!K4:K32873,"=bildirimsiz",'[7]TABLO-1'!I4:I32873,"=Uzun")/P14</f>
        <v>1.0433864198560272E-2</v>
      </c>
      <c r="L34" s="10">
        <f t="shared" si="12"/>
        <v>1.0491653873069433E-2</v>
      </c>
      <c r="M34" s="11">
        <f t="shared" si="13"/>
        <v>7.5053640009090875E-3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Sebep",'[7]TABLO-1'!K4:K32873,"=Bildirimsiz",'[7]TABLO-1'!I4:I32873,"=Uzun")/P6</f>
        <v>0</v>
      </c>
      <c r="E35" s="10">
        <f>SUMIFS('[7]TABLO-1'!P4:P32873,'[7]TABLO-1'!H4:H32873,"=Dağıtım-OG",'[7]TABLO-1'!J4:J32873,"=Mücbir Sebep",'[7]TABLO-1'!K4:K32873,"=Bildirimsiz",'[7]TABLO-1'!I4:I32873,"=Uzun")/P12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Sebep",'[7]TABLO-1'!K4:K32873,"=Bildirimsiz",'[7]TABLO-1'!I4:I32873,"=Uzun")/P7</f>
        <v>0</v>
      </c>
      <c r="H35" s="10">
        <f>SUMIFS('[7]TABLO-1'!R4:R32873,'[7]TABLO-1'!H4:H32873,"=Dağıtım-OG",'[7]TABLO-1'!J4:J32873,"=Mücbir Sebep",'[7]TABLO-1'!K4:K32873,"=Bildirimsiz",'[7]TABLO-1'!I4:I32873,"=Uzun")/P13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Sebep",'[7]TABLO-1'!K4:K32873,"=Bildirimsiz",'[7]TABLO-1'!I4:I32873,"=Uzun")/P8</f>
        <v>0</v>
      </c>
      <c r="K35" s="10">
        <f>SUMIFS('[7]TABLO-1'!T4:T32873,'[7]TABLO-1'!H4:H32873,"=Dağıtım-OG",'[7]TABLO-1'!J4:J32873,"=Mücbir Sebep",'[7]TABLO-1'!K4:K32873,"=bildirimsiz",'[7]TABLO-1'!I4:I32873,"=Uzun")/P14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SUMIFS('[7]TABLO-1'!O4:O32873,'[7]TABLO-1'!H4:H32873,"=Dağıtım-OG",'[7]TABLO-1'!J4:J32873,"=Güvenlik",'[7]TABLO-1'!K4:K32873,"=Bildirimsiz",'[7]TABLO-1'!I4:I32873,"=Uzun")/P6</f>
        <v>0</v>
      </c>
      <c r="E36" s="10">
        <f>SUMIFS('[7]TABLO-1'!P4:P32873,'[7]TABLO-1'!H4:H32873,"=Dağıtım-OG",'[7]TABLO-1'!J4:J32873,"=Güvenlik",'[7]TABLO-1'!K4:K32873,"=Bildirimsiz",'[7]TABLO-1'!I4:I32873,"=Uzun")/P12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SUMIFS('[7]TABLO-1'!Q4:Q32873,'[7]TABLO-1'!H4:H32873,"=Dağıtım-OG",'[7]TABLO-1'!J4:J32873,"=Güvenlik",'[7]TABLO-1'!K4:K32873,"=Bildirimsiz",'[7]TABLO-1'!I4:I32873,"=Uzun")/P7</f>
        <v>0</v>
      </c>
      <c r="H36" s="10">
        <f>SUMIFS('[7]TABLO-1'!R4:R32873,'[7]TABLO-1'!H4:H32873,"=Dağıtım-OG",'[7]TABLO-1'!J4:J32873,"=Güvenlik",'[7]TABLO-1'!K4:K32873,"=Bildirimsiz",'[7]TABLO-1'!I4:I32873,"=Uzun")/P13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SUMIFS('[7]TABLO-1'!S4:S32873,'[7]TABLO-1'!H4:H32873,"=Dağıtım-OG",'[7]TABLO-1'!J4:J32873,"=Güvenlik",'[7]TABLO-1'!K4:K32873,"=Bildirimsiz",'[7]TABLO-1'!I4:I32873,"=Uzun")/P8</f>
        <v>0</v>
      </c>
      <c r="K36" s="10">
        <f>SUMIFS('[7]TABLO-1'!T4:T32873,'[7]TABLO-1'!H4:H32873,"=Dağıtım-OG",'[7]TABLO-1'!J4:J32873,"=Güvenlik",'[7]TABLO-1'!K4:K32873,"=bildirimsiz",'[7]TABLO-1'!I4:I32873,"=Uzun")/P14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İşletmecisi",'[7]TABLO-1'!K4:K32873,"=Bildirimsiz",'[7]TABLO-1'!I4:I32873,"=Uzun")/P6</f>
        <v>0</v>
      </c>
      <c r="E37" s="10">
        <f>SUMIFS('[7]TABLO-1'!P4:P32873,'[7]TABLO-1'!H4:H32873,"=Dağıtım-AG",'[7]TABLO-1'!J4:J32873,"=Şebeke İşletmecisi",'[7]TABLO-1'!K4:K32873,"=Bildirimsiz",'[7]TABLO-1'!I4:I32873,"=Uzun")/P12</f>
        <v>5.9180950849663544E-2</v>
      </c>
      <c r="F37" s="10">
        <f t="shared" si="10"/>
        <v>5.878728230629604E-2</v>
      </c>
      <c r="G37" s="12">
        <f>SUMIFS('[7]TABLO-1'!Q4:Q32873,'[7]TABLO-1'!H4:H32873,"=Dağıtım-AG",'[7]TABLO-1'!J4:J32873,"=Şebeke İşletmecisi",'[7]TABLO-1'!K4:K32873,"=Bildirimsiz",'[7]TABLO-1'!I4:I32873,"=Uzun")/P7</f>
        <v>0</v>
      </c>
      <c r="H37" s="10">
        <f>SUMIFS('[7]TABLO-1'!R4:R32873,'[7]TABLO-1'!H4:H32873,"=Dağıtım-AG",'[7]TABLO-1'!J4:J32873,"=Şebeke İşletmecisi",'[7]TABLO-1'!K4:K32873,"=Bildirimsiz",'[7]TABLO-1'!I4:I32873,"=Uzun")/P13</f>
        <v>7.3760319430205584E-2</v>
      </c>
      <c r="I37" s="10">
        <f t="shared" si="11"/>
        <v>7.3093005101004166E-2</v>
      </c>
      <c r="J37" s="12">
        <f>SUMIFS('[7]TABLO-1'!S4:S32873,'[7]TABLO-1'!H4:H32873,"=Dağıtım-AG",'[7]TABLO-1'!J4:J32873,"=Şebeke İşletmecisi",'[7]TABLO-1'!K4:K32873,"=Bildirimsiz",'[7]TABLO-1'!I4:I32873,"=Uzun")/P8</f>
        <v>0</v>
      </c>
      <c r="K37" s="10">
        <f>SUMIFS('[7]TABLO-1'!T4:T32873,'[7]TABLO-1'!H4:H32873,"=Dağıtım-AG",'[7]TABLO-1'!J4:J32873,"=Şebeke İşletmecisi",'[7]TABLO-1'!K4:K32873,"=bildirimsiz",'[7]TABLO-1'!I4:I32873,"=Uzun")/P14</f>
        <v>0.11269907446010173</v>
      </c>
      <c r="L37" s="10">
        <f t="shared" si="12"/>
        <v>0.10998334572006706</v>
      </c>
      <c r="M37" s="11">
        <f t="shared" si="13"/>
        <v>6.8119152083389506E-2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SUMIFS('[7]TABLO-1'!O4:O32873,'[7]TABLO-1'!H4:H32873,"=Dağıtım-AG",'[7]TABLO-1'!J4:J32873,"=Dışsal",'[7]TABLO-1'!K4:K32873,"=Bildirimsiz",'[7]TABLO-1'!I4:I32873,"=Uzun")/P6</f>
        <v>0</v>
      </c>
      <c r="E38" s="10">
        <f>SUMIFS('[7]TABLO-1'!P4:P32873,'[7]TABLO-1'!H4:H32873,"=Dağıtım-AG",'[7]TABLO-1'!J4:J32873,"=Dışsal",'[7]TABLO-1'!K4:K32873,"=Bildirimsiz",'[7]TABLO-1'!I4:I32873,"=Uzun")/P12</f>
        <v>2.0250260189770141E-3</v>
      </c>
      <c r="F38" s="10">
        <f t="shared" si="10"/>
        <v>2.0115556533994642E-3</v>
      </c>
      <c r="G38" s="12">
        <f>SUMIFS('[7]TABLO-1'!Q4:Q32873,'[7]TABLO-1'!H4:H32873,"=Dağıtım-AG",'[7]TABLO-1'!J4:J32873,"=Dışsal",'[7]TABLO-1'!K4:K32873,"=Bildirimsiz",'[7]TABLO-1'!I4:I32873,"=Uzun")/P7</f>
        <v>0</v>
      </c>
      <c r="H38" s="10">
        <f>SUMIFS('[7]TABLO-1'!R4:R32873,'[7]TABLO-1'!H4:H32873,"=Dağıtım-AG",'[7]TABLO-1'!J4:J32873,"=Dışsal",'[7]TABLO-1'!K4:K32873,"=Bildirimsiz",'[7]TABLO-1'!I4:I32873,"=Uzun")/P13</f>
        <v>2.616953542329898E-3</v>
      </c>
      <c r="I38" s="10">
        <f t="shared" si="11"/>
        <v>2.5932777961951E-3</v>
      </c>
      <c r="J38" s="12">
        <f>SUMIFS('[7]TABLO-1'!S4:S32873,'[7]TABLO-1'!H4:H32873,"=Dağıtım-AG",'[7]TABLO-1'!J4:J32873,"=Dışsal",'[7]TABLO-1'!K4:K32873,"=Bildirimsiz",'[7]TABLO-1'!I4:I32873,"=Uzun")/P8</f>
        <v>0</v>
      </c>
      <c r="K38" s="10">
        <f>SUMIFS('[7]TABLO-1'!T4:T32873,'[7]TABLO-1'!H4:H32873,"=Dağıtım-AG",'[7]TABLO-1'!J4:J32873,"=Dışsal",'[7]TABLO-1'!K4:K32873,"=bildirimsiz",'[7]TABLO-1'!I4:I32873,"=Uzun")/P14</f>
        <v>8.6161371911392759E-4</v>
      </c>
      <c r="L38" s="10">
        <f t="shared" si="12"/>
        <v>8.4085126697298971E-4</v>
      </c>
      <c r="M38" s="11">
        <f t="shared" si="13"/>
        <v>1.9291142946290653E-3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Sebep",'[7]TABLO-1'!K4:K32873,"=Bildirimsiz",'[7]TABLO-1'!I4:I32873,"=Uzun")/P6</f>
        <v>0</v>
      </c>
      <c r="E39" s="10">
        <f>SUMIFS('[7]TABLO-1'!P4:P32873,'[7]TABLO-1'!H4:H32873,"=Dağıtım-AG",'[7]TABLO-1'!J4:J32873,"=Mücbir Sebep",'[7]TABLO-1'!K4:K32873,"=Bildirimsiz",'[7]TABLO-1'!I4:I32873,"=Uzun")/P12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Sebep",'[7]TABLO-1'!K4:K32873,"=Bildirimsiz",'[7]TABLO-1'!I4:I32873,"=Uzun")/P7</f>
        <v>0</v>
      </c>
      <c r="H39" s="10">
        <f>SUMIFS('[7]TABLO-1'!R4:R32873,'[7]TABLO-1'!H4:H32873,"=Dağıtım-AG",'[7]TABLO-1'!J4:J32873,"=Mücbir Sebep",'[7]TABLO-1'!K4:K32873,"=Bildirimsiz",'[7]TABLO-1'!I4:I32873,"=Uzun")/P13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Sebep",'[7]TABLO-1'!K4:K32873,"=Bildirimsiz",'[7]TABLO-1'!I4:I32873,"=Uzun")/P8</f>
        <v>0</v>
      </c>
      <c r="K39" s="10">
        <f>SUMIFS('[7]TABLO-1'!T4:T32873,'[7]TABLO-1'!H4:H32873,"=Dağıtım-AG",'[7]TABLO-1'!J4:J32873,"=Mücbir Sebep",'[7]TABLO-1'!K4:K32873,"=bildirimsiz",'[7]TABLO-1'!I4:I32873,"=Uzun")/P14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SUMIFS('[7]TABLO-1'!O4:O32873,'[7]TABLO-1'!H4:H32873,"=Dağıtım-AG",'[7]TABLO-1'!J4:J32873,"=Güvenlik",'[7]TABLO-1'!K4:K32873,"=Bildirimsiz",'[7]TABLO-1'!I4:I32873,"=Uzun")/P6</f>
        <v>0</v>
      </c>
      <c r="E40" s="10">
        <f>SUMIFS('[7]TABLO-1'!P4:P32873,'[7]TABLO-1'!H4:H32873,"=Dağıtım-AG",'[7]TABLO-1'!J4:J32873,"=Güvenlik",'[7]TABLO-1'!K4:K32873,"=Bildirimsiz",'[7]TABLO-1'!I4:I32873,"=Uzun")/P12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SUMIFS('[7]TABLO-1'!Q4:Q32873,'[7]TABLO-1'!H4:H32873,"=Dağıtım-AG",'[7]TABLO-1'!J4:J32873,"=Güvenlik",'[7]TABLO-1'!K4:K32873,"=Bildirimsiz",'[7]TABLO-1'!I4:I32873,"=Uzun")/P7</f>
        <v>0</v>
      </c>
      <c r="H40" s="10">
        <f>SUMIFS('[7]TABLO-1'!R4:R32873,'[7]TABLO-1'!H4:H32873,"=Dağıtım-AG",'[7]TABLO-1'!J4:J32873,"=Güvenlik",'[7]TABLO-1'!K4:K32873,"=Bildirimsiz",'[7]TABLO-1'!I4:I32873,"=Uzun")/P13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SUMIFS('[7]TABLO-1'!S4:S32873,'[7]TABLO-1'!H4:H32873,"=Dağıtım-AG",'[7]TABLO-1'!J4:J32873,"=Güvenlik",'[7]TABLO-1'!K4:K32873,"=Bildirimsiz",'[7]TABLO-1'!I4:I32873,"=Uzun")/P8</f>
        <v>0</v>
      </c>
      <c r="K40" s="10">
        <f>SUMIFS('[7]TABLO-1'!T4:T32873,'[7]TABLO-1'!H4:H32873,"=Dağıtım-AG",'[7]TABLO-1'!J4:J32873,"=Güvenlik",'[7]TABLO-1'!K4:K32873,"=bildirimsiz",'[7]TABLO-1'!I4:I32873,"=Uzun")/P14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0.50146009085009735</v>
      </c>
      <c r="E41" s="10">
        <f t="shared" ref="E41:M41" si="14">SUM(E31:E40)</f>
        <v>0.68929539089303216</v>
      </c>
      <c r="F41" s="10">
        <f t="shared" si="14"/>
        <v>0.68804592044858548</v>
      </c>
      <c r="G41" s="10">
        <f t="shared" si="14"/>
        <v>0.69326241134751776</v>
      </c>
      <c r="H41" s="10">
        <f t="shared" si="14"/>
        <v>0.75531214590190476</v>
      </c>
      <c r="I41" s="10">
        <f t="shared" si="14"/>
        <v>0.75475077798333889</v>
      </c>
      <c r="J41" s="10">
        <f t="shared" si="14"/>
        <v>1.3710040522287257</v>
      </c>
      <c r="K41" s="10">
        <f t="shared" si="14"/>
        <v>1.7003085132994247</v>
      </c>
      <c r="L41" s="10">
        <f t="shared" si="14"/>
        <v>1.6923732077662108</v>
      </c>
      <c r="M41" s="10">
        <f t="shared" si="14"/>
        <v>0.84028720998763484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İşletmecisi",'[7]TABLO-1'!K4:K32873,"=Bildirimli",'[7]TABLO-1'!I4:I32873,"=Uzun")/P6</f>
        <v>3.2446463335496429E-4</v>
      </c>
      <c r="E46" s="10">
        <f>SUMIFS('[7]TABLO-1'!P4:P32873,'[7]TABLO-1'!H4:H32873,"=İletim",'[7]TABLO-1'!J4:J32873,"=Şebeke İşletmecisi",'[7]TABLO-1'!K4:K32873,"=Bildirimli",'[7]TABLO-1'!I4:I32873,"=Uzun")/P12</f>
        <v>2.0532720900571656E-4</v>
      </c>
      <c r="F46" s="10">
        <f>IFERROR((((D46*$P$6)+(E46*$P$12))/$P$17),"0,00")</f>
        <v>2.0611970482794939E-4</v>
      </c>
      <c r="G46" s="10">
        <f>SUMIFS('[7]TABLO-1'!Q4:Q32873,'[7]TABLO-1'!H4:H32873,"=İletim",'[7]TABLO-1'!J4:J32873,"=Şebeke İşletmecisi",'[7]TABLO-1'!K4:K32873,"=Bildirimli",'[7]TABLO-1'!I4:I32873,"=Uzun")/P7</f>
        <v>1.6548463356973995E-2</v>
      </c>
      <c r="H46" s="10">
        <f>SUMIFS('[7]TABLO-1'!R4:R32873,'[7]TABLO-1'!H4:H32873,"=İletim",'[7]TABLO-1'!J4:J32873,"=Şebeke İşletmecisi",'[7]TABLO-1'!K4:K32873,"=Bildirimli",'[7]TABLO-1'!I4:I32873,"=Uzun")/P13</f>
        <v>7.2519289915286243E-3</v>
      </c>
      <c r="I46" s="10">
        <f>IFERROR((((G46*$P$7)+(H46*$P$13))/$P$20),"0,00")</f>
        <v>7.3360353327416028E-3</v>
      </c>
      <c r="J46" s="10">
        <f>SUMIFS('[7]TABLO-1'!S4:S32873,'[7]TABLO-1'!H4:H32873,"=İletim",'[7]TABLO-1'!J4:J32873,"=Şebeke İşletmecisi",'[7]TABLO-1'!K4:K32873,"=Bildirimli",'[7]TABLO-1'!I4:I32873,"=Uzun")/P8</f>
        <v>1.7784781629896444E-2</v>
      </c>
      <c r="K46" s="10">
        <f>SUMIFS('[7]TABLO-1'!T4:T32873,'[7]TABLO-1'!H4:H32873,"=İletim",'[7]TABLO-1'!J4:J32873,"=Şebeke İşletmecisi",'[7]TABLO-1'!K4:K32873,"=bildirimli",'[7]TABLO-1'!I4:I32873,"=Uzun")/P14</f>
        <v>2.2946718919369634E-2</v>
      </c>
      <c r="L46" s="10">
        <f>IFERROR((((J46*$P$8)+(K46*$P$14))/$P$23),"0,00")</f>
        <v>2.2822330839712048E-2</v>
      </c>
      <c r="M46" s="11">
        <f>IFERROR((((F46*$P$17)+(I46*$P$20)+(L46*$P$23))/$P$26),"0,00")</f>
        <v>4.4452833386620233E-3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İşletmecisi",'[7]TABLO-1'!K4:K32873,"=Bildirimli",'[7]TABLO-1'!I4:I32873,"=Uzun")/P6</f>
        <v>0.24691758598312785</v>
      </c>
      <c r="E47" s="10">
        <f>SUMIFS('[7]TABLO-1'!P4:P32873,'[7]TABLO-1'!H4:H32873,"=Dağıtım-OG",'[7]TABLO-1'!J4:J32873,"=Şebeke İşletmecisi",'[7]TABLO-1'!K4:K32873,"=Bildirimli",'[7]TABLO-1'!I4:I32873,"=Uzun")/P12</f>
        <v>0.17648905682023114</v>
      </c>
      <c r="F47" s="10">
        <f t="shared" ref="F47:F50" si="15">IFERROR((((D47*$P$6)+(E47*$P$12))/$P$17),"0,00")</f>
        <v>0.17695754365744848</v>
      </c>
      <c r="G47" s="10">
        <f>SUMIFS('[7]TABLO-1'!Q4:Q32873,'[7]TABLO-1'!H4:H32873,"=Dağıtım-OG",'[7]TABLO-1'!J4:J32873,"=Şebeke İşletmecisi",'[7]TABLO-1'!K4:K32873,"=Bildirimli",'[7]TABLO-1'!I4:I32873,"=Uzun")/P7</f>
        <v>0.34338061465721043</v>
      </c>
      <c r="H47" s="10">
        <f>SUMIFS('[7]TABLO-1'!R4:R32873,'[7]TABLO-1'!H4:H32873,"=Dağıtım-OG",'[7]TABLO-1'!J4:J32873,"=Şebeke İşletmecisi",'[7]TABLO-1'!K4:K32873,"=Bildirimli",'[7]TABLO-1'!I4:I32873,"=Uzun")/P13</f>
        <v>0.62960664760157559</v>
      </c>
      <c r="I47" s="10">
        <f t="shared" ref="I47:I50" si="16">IFERROR((((G47*$P$7)+(H47*$P$13))/$P$20),"0,00")</f>
        <v>0.62701714236827755</v>
      </c>
      <c r="J47" s="10">
        <f>SUMIFS('[7]TABLO-1'!S4:S32873,'[7]TABLO-1'!H4:H32873,"=Dağıtım-OG",'[7]TABLO-1'!J4:J32873,"=Şebeke İşletmecisi",'[7]TABLO-1'!K4:K32873,"=Bildirimli",'[7]TABLO-1'!I4:I32873,"=Uzun")/P8</f>
        <v>0.26159387663214767</v>
      </c>
      <c r="K47" s="10">
        <f>SUMIFS('[7]TABLO-1'!T4:T32873,'[7]TABLO-1'!H4:H32873,"=Dağıtım-OG",'[7]TABLO-1'!J4:J32873,"=Şebeke İşletmecisi",'[7]TABLO-1'!K4:K32873,"=bildirimli",'[7]TABLO-1'!I4:I32873,"=Uzun")/P14</f>
        <v>0.33837516328969675</v>
      </c>
      <c r="L47" s="10">
        <f t="shared" ref="L47:L50" si="17">IFERROR((((J47*$P$8)+(K47*$P$14))/$P$23),"0,00")</f>
        <v>0.33652495158324153</v>
      </c>
      <c r="M47" s="11">
        <f t="shared" ref="M47:M50" si="18">IFERROR((((F47*$P$17)+(I47*$P$20)+(L47*$P$23))/$P$26),"0,00")</f>
        <v>0.26446508295422588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SUMIFS('[7]TABLO-1'!O4:O32873,'[7]TABLO-1'!H4:H32873,"=Dağıtım-OG",'[7]TABLO-1'!J4:J32873,"=Güvenlik",'[7]TABLO-1'!K4:K32873,"=Bildirimli",'[7]TABLO-1'!I4:I32873,"=Uzun")/P6</f>
        <v>0</v>
      </c>
      <c r="E48" s="10">
        <f>SUMIFS('[7]TABLO-1'!P4:P32873,'[7]TABLO-1'!H4:H32873,"=Dağıtım-OG",'[7]TABLO-1'!J4:J32873,"=Güvenlik",'[7]TABLO-1'!K4:K32873,"=Bildirimli",'[7]TABLO-1'!I4:I32873,"=Uzun")/P12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SUMIFS('[7]TABLO-1'!Q4:Q32873,'[7]TABLO-1'!H4:H32873,"=Dağıtım-OG",'[7]TABLO-1'!J4:J32873,"=Güvenlik",'[7]TABLO-1'!K4:K32873,"=Bildirimli",'[7]TABLO-1'!I4:I32873,"=Uzun")/P7</f>
        <v>0</v>
      </c>
      <c r="H48" s="10">
        <f>SUMIFS('[7]TABLO-1'!R4:R32873,'[7]TABLO-1'!H4:H32873,"=Dağıtım-OG",'[7]TABLO-1'!J4:J32873,"=Güvenlik",'[7]TABLO-1'!K4:K32873,"=Bildirimli",'[7]TABLO-1'!I4:I32873,"=Uzun")/P13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SUMIFS('[7]TABLO-1'!S4:S32873,'[7]TABLO-1'!H4:H32873,"=Dağıtım-OG",'[7]TABLO-1'!J4:J32873,"=Güvenlik",'[7]TABLO-1'!K4:K32873,"=Bildirimli",'[7]TABLO-1'!I4:I32873,"=Uzun")/P8</f>
        <v>0</v>
      </c>
      <c r="K48" s="10">
        <f>SUMIFS('[7]TABLO-1'!T4:T32873,'[7]TABLO-1'!H4:H32873,"=Dağıtım-OG",'[7]TABLO-1'!J4:J32873,"=Güvenlik",'[7]TABLO-1'!K4:K32873,"=bildirimli",'[7]TABLO-1'!I4:I32873,"=Uzun")/P14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İşletmecisi",'[7]TABLO-1'!K4:K32873,"=Bildirimli",'[7]TABLO-1'!I4:I32873,"=Uzun")/P6</f>
        <v>0</v>
      </c>
      <c r="E49" s="10">
        <f>SUMIFS('[7]TABLO-1'!P4:P32873,'[7]TABLO-1'!H4:H32873,"=Dağıtım-AG",'[7]TABLO-1'!J4:J32873,"=Şebeke İşletmecisi",'[7]TABLO-1'!K4:K32873,"=Bildirimli",'[7]TABLO-1'!I4:I32873,"=Uzun")/P12</f>
        <v>7.1408240465321432E-3</v>
      </c>
      <c r="F49" s="10">
        <f t="shared" si="15"/>
        <v>7.0933236640529397E-3</v>
      </c>
      <c r="G49" s="12">
        <f>SUMIFS('[7]TABLO-1'!Q4:Q32873,'[7]TABLO-1'!H4:H32873,"=Dağıtım-AG",'[7]TABLO-1'!J4:J32873,"=Şebeke İşletmecisi",'[7]TABLO-1'!K4:K32873,"=Bildirimli",'[7]TABLO-1'!I4:I32873,"=Uzun")/P7</f>
        <v>0</v>
      </c>
      <c r="H49" s="10">
        <f>SUMIFS('[7]TABLO-1'!R4:R32873,'[7]TABLO-1'!H4:H32873,"=Dağıtım-AG",'[7]TABLO-1'!J4:J32873,"=Şebeke İşletmecisi",'[7]TABLO-1'!K4:K32873,"=Bildirimli",'[7]TABLO-1'!I4:I32873,"=Uzun")/P13</f>
        <v>2.045000809367075E-2</v>
      </c>
      <c r="I49" s="10">
        <f t="shared" si="16"/>
        <v>2.0264995562019442E-2</v>
      </c>
      <c r="J49" s="12">
        <f>SUMIFS('[7]TABLO-1'!S4:S32873,'[7]TABLO-1'!H4:H32873,"=Dağıtım-AG",'[7]TABLO-1'!J4:J32873,"=Şebeke İşletmecisi",'[7]TABLO-1'!K4:K32873,"=Bildirimli",'[7]TABLO-1'!I4:I32873,"=Uzun")/P8</f>
        <v>0</v>
      </c>
      <c r="K49" s="10">
        <f>SUMIFS('[7]TABLO-1'!T4:T32873,'[7]TABLO-1'!H4:H32873,"=Dağıtım-AG",'[7]TABLO-1'!J4:J32873,"=Şebeke İşletmecisi",'[7]TABLO-1'!K4:K32873,"=bildirimli",'[7]TABLO-1'!I4:I32873,"=Uzun")/P14</f>
        <v>1.5131048667278135E-2</v>
      </c>
      <c r="L49" s="10">
        <f t="shared" si="17"/>
        <v>1.4766433217422438E-2</v>
      </c>
      <c r="M49" s="11">
        <f t="shared" si="18"/>
        <v>1.0080854850328003E-2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SUMIFS('[7]TABLO-1'!O4:O32873,'[7]TABLO-1'!H4:H32873,"=Dağıtım-AG",'[7]TABLO-1'!J4:J32873,"=Güvenlik",'[7]TABLO-1'!K4:K32873,"=Bildirimli",'[7]TABLO-1'!I4:I32873,"=Uzun")/P6</f>
        <v>0</v>
      </c>
      <c r="E50" s="10">
        <f>SUMIFS('[7]TABLO-1'!P4:P32873,'[7]TABLO-1'!H4:H32873,"=Dağıtım-AG",'[7]TABLO-1'!J4:J32873,"=Güvenlik",'[7]TABLO-1'!K4:K32873,"=Bildirimli",'[7]TABLO-1'!I4:I32873,"=Uzun")/P12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SUMIFS('[7]TABLO-1'!Q4:Q32873,'[7]TABLO-1'!H4:H32873,"=Dağıtım-AG",'[7]TABLO-1'!J4:J32873,"=Güvenlik",'[7]TABLO-1'!K4:K32873,"=Bildirimli",'[7]TABLO-1'!I4:I32873,"=Uzun")/P7</f>
        <v>0</v>
      </c>
      <c r="H50" s="10">
        <f>SUMIFS('[7]TABLO-1'!R4:R32873,'[7]TABLO-1'!H4:H32873,"=Dağıtım-AG",'[7]TABLO-1'!J4:J32873,"=Güvenlik",'[7]TABLO-1'!K4:K32873,"=Bildirimli",'[7]TABLO-1'!I4:I32873,"=Uzun")/P13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SUMIFS('[7]TABLO-1'!S4:S32873,'[7]TABLO-1'!H4:H32873,"=Dağıtım-AG",'[7]TABLO-1'!J4:J32873,"=Güvenlik",'[7]TABLO-1'!K4:K32873,"=Bildirimli",'[7]TABLO-1'!I4:I32873,"=Uzun")/P8</f>
        <v>0</v>
      </c>
      <c r="K50" s="10">
        <f>SUMIFS('[7]TABLO-1'!T4:T32873,'[7]TABLO-1'!H4:H32873,"=Dağıtım-AG",'[7]TABLO-1'!J4:J32873,"=Güvenlik",'[7]TABLO-1'!K4:K32873,"=bildirimli",'[7]TABLO-1'!I4:I32873,"=Uzun")/P14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0.24724205061648283</v>
      </c>
      <c r="E51" s="10">
        <f t="shared" ref="E51:M51" si="19">SUM(E46:E50)</f>
        <v>0.18383520807576897</v>
      </c>
      <c r="F51" s="10">
        <f t="shared" si="19"/>
        <v>0.18425698702632937</v>
      </c>
      <c r="G51" s="10">
        <f t="shared" si="19"/>
        <v>0.35992907801418444</v>
      </c>
      <c r="H51" s="10">
        <f t="shared" si="19"/>
        <v>0.65730858468677489</v>
      </c>
      <c r="I51" s="10">
        <f t="shared" si="19"/>
        <v>0.65461817326303862</v>
      </c>
      <c r="J51" s="10">
        <f t="shared" si="19"/>
        <v>0.27937865826204411</v>
      </c>
      <c r="K51" s="10">
        <f t="shared" si="19"/>
        <v>0.37645293087634452</v>
      </c>
      <c r="L51" s="10">
        <f t="shared" si="19"/>
        <v>0.37411371564037599</v>
      </c>
      <c r="M51" s="10">
        <f t="shared" si="19"/>
        <v>0.2789912211432159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SUMIFS('[7]TABLO-1'!O1:O32873,'[7]TABLO-1'!H1:H32873,"=İletim",'[7]TABLO-1'!K1:K32873,"=Bildirimsiz",'[7]TABLO-1'!I1:I32873,"=Kısa")/P6</f>
        <v>0</v>
      </c>
      <c r="D56" s="10">
        <f>SUMIFS('[7]TABLO-1'!P1:P32873,'[7]TABLO-1'!H1:H32873,"=İletim",'[7]TABLO-1'!K1:K32873,"=Bildirimsiz",'[7]TABLO-1'!I1:I32873,"=Kısa")/P12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SUMIFS('[7]TABLO-1'!Q1:Q32873,'[7]TABLO-1'!H1:H32873,"=İletim",'[7]TABLO-1'!K1:K32873,"=Bildirimsiz",'[7]TABLO-1'!I1:I32873,"=Kısa")/P7</f>
        <v>0</v>
      </c>
      <c r="G56" s="10">
        <f>SUMIFS('[7]TABLO-1'!R1:R32873,'[7]TABLO-1'!H1:H32873,"=İletim",'[7]TABLO-1'!K1:K32873,"=Bildirimsiz",'[7]TABLO-1'!I1:I32873,"=Kısa")/P13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SUMIFS('[7]TABLO-1'!S1:S32873,'[7]TABLO-1'!H1:H32873,"=İletim",'[7]TABLO-1'!K1:K32873,"=Bildirimsiz",'[7]TABLO-1'!I1:I32873,"=Kısa")/P8</f>
        <v>0</v>
      </c>
      <c r="J56" s="10">
        <f>SUMIFS('[7]TABLO-1'!T1:T32873,'[7]TABLO-1'!H1:H32873,"=İletim",'[7]TABLO-1'!K1:K32873,"=Bildirimsiz",'[7]TABLO-1'!I1:I32873,"=Kısa")/P14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SUMIFS('[7]TABLO-1'!O4:O32873,'[7]TABLO-1'!H4:H32873,"=Dağıtım-OG",'[7]TABLO-1'!K4:K32873,"=Bildirimsiz",'[7]TABLO-1'!I4:I32873,"=Kısa")/P6</f>
        <v>9.8637248539909156E-2</v>
      </c>
      <c r="D57" s="10">
        <f>SUMIFS('[7]TABLO-1'!P4:P32873,'[7]TABLO-1'!H4:H32873,"=Dağıtım-OG",'[7]TABLO-1'!K4:K32873,"=Bildirimsiz",'[7]TABLO-1'!I4:I32873,"=Kısa")/P12</f>
        <v>5.5561108202007208E-2</v>
      </c>
      <c r="E57" s="10">
        <f>IFERROR((((C57*$P$6)+(D57*$P$12))/$P$17),"0,00")</f>
        <v>5.584764840079167E-2</v>
      </c>
      <c r="F57" s="10">
        <f>SUMIFS('[7]TABLO-1'!Q4:Q32873,'[7]TABLO-1'!H4:H32873,"=Dağıtım-OG",'[7]TABLO-1'!K4:K32873,"=Bildirimsiz",'[7]TABLO-1'!I4:I32873,"=Kısa")/P7</f>
        <v>0.23226950354609929</v>
      </c>
      <c r="G57" s="10">
        <f>SUMIFS('[7]TABLO-1'!R4:R32873,'[7]TABLO-1'!H4:H32873,"=Dağıtım-OG",'[7]TABLO-1'!K4:K32873,"=Bildirimsiz",'[7]TABLO-1'!I4:I32873,"=Kısa")/P13</f>
        <v>0.16817029083256893</v>
      </c>
      <c r="H57" s="10">
        <f>IFERROR((((F57*$P$7)+(G57*$P$13))/$P$20),"0,00")</f>
        <v>0.16875020051116982</v>
      </c>
      <c r="I57" s="10">
        <f>SUMIFS('[7]TABLO-1'!S4:S32873,'[7]TABLO-1'!H4:H32873,"=Dağıtım-OG",'[7]TABLO-1'!K4:K32873,"=Bildirimsiz",'[7]TABLO-1'!I4:I32873,"=Kısa")/P8</f>
        <v>0.59477712742008104</v>
      </c>
      <c r="J57" s="10">
        <f>SUMIFS('[7]TABLO-1'!T4:T32873,'[7]TABLO-1'!H4:H32873,"=Dağıtım-OG",'[7]TABLO-1'!K4:K32873,"=Bildirimsiz",'[7]TABLO-1'!I4:I32873,"=Kısa")/P14</f>
        <v>0.53411712387781762</v>
      </c>
      <c r="K57" s="10">
        <f>IFERROR((((I57*$P$8)+(J57*$P$14))/$P$23),"0,00")</f>
        <v>0.53557885828672491</v>
      </c>
      <c r="L57" s="11">
        <f>IFERROR((((E57*$P$17)+(H57*$P$20)+(K57*$P$23))/$P$26),"0,00")</f>
        <v>0.14024445206297356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SUMIFS('[7]TABLO-1'!O4:O32873,'[7]TABLO-1'!H4:H32873,"=Dağıtım-AG",'[7]TABLO-1'!K4:K32873,"=Bildirimsiz",'[7]TABLO-1'!I4:I32873,"=Kısa")/P6</f>
        <v>0</v>
      </c>
      <c r="D58" s="10">
        <f>SUMIFS('[7]TABLO-1'!P4:P32873,'[7]TABLO-1'!H4:H32873,"=Dağıtım-AG",'[7]TABLO-1'!K4:K32873,"=Bildirimsiz",'[7]TABLO-1'!I4:I32873,"=Kısa")/P12</f>
        <v>1.3775391588320032E-3</v>
      </c>
      <c r="E58" s="10">
        <f>IFERROR((((C58*$P$6)+(D58*$P$12))/$P$17),"0,00")</f>
        <v>1.3683758414756012E-3</v>
      </c>
      <c r="F58" s="10">
        <f>SUMIFS('[7]TABLO-1'!Q4:Q32873,'[7]TABLO-1'!H4:H32873,"=Dağıtım-AG",'[7]TABLO-1'!K4:K32873,"=Bildirimsiz",'[7]TABLO-1'!I4:I32873,"=Kısa")/P7</f>
        <v>0</v>
      </c>
      <c r="G58" s="10">
        <f>SUMIFS('[7]TABLO-1'!R4:R32873,'[7]TABLO-1'!H4:H32873,"=Dağıtım-AG",'[7]TABLO-1'!K4:K32873,"=Bildirimsiz",'[7]TABLO-1'!I4:I32873,"=Kısa")/P13</f>
        <v>2.1906868828576054E-3</v>
      </c>
      <c r="H58" s="10">
        <f>IFERROR((((F58*$P$7)+(G58*$P$13))/$P$20),"0,00")</f>
        <v>2.1708675984643518E-3</v>
      </c>
      <c r="I58" s="10">
        <f>SUMIFS('[7]TABLO-1'!S4:S32873,'[7]TABLO-1'!H4:H32873,"=Dağıtım-AG",'[7]TABLO-1'!K4:K32873,"=Bildirimsiz",'[7]TABLO-1'!I4:I32873,"=Kısa")/P8</f>
        <v>0</v>
      </c>
      <c r="J58" s="10">
        <f>SUMIFS('[7]TABLO-1'!T4:T32873,'[7]TABLO-1'!H4:H32873,"=Dağıtım-AG",'[7]TABLO-1'!K4:K32873,"=Bildirimsiz",'[7]TABLO-1'!I4:I32873,"=Kısa")/P14</f>
        <v>3.2963673253842518E-3</v>
      </c>
      <c r="K58" s="10">
        <f>IFERROR((((I58*$P$8)+(J58*$P$14))/$P$23),"0,00")</f>
        <v>3.2169342020321478E-3</v>
      </c>
      <c r="L58" s="11">
        <f>IFERROR((((E58*$P$17)+(H58*$P$20)+(K58*$P$23))/$P$26),"0,00")</f>
        <v>1.7465264001294294E-3</v>
      </c>
    </row>
    <row r="59" spans="2:13" ht="15" customHeight="1" thickBot="1" x14ac:dyDescent="0.3">
      <c r="B59" s="30" t="s">
        <v>20</v>
      </c>
      <c r="C59" s="10">
        <f>SUM(C56:C58)</f>
        <v>9.8637248539909156E-2</v>
      </c>
      <c r="D59" s="10">
        <f t="shared" ref="D59:L59" si="20">SUM(D56:D58)</f>
        <v>5.6938647360839208E-2</v>
      </c>
      <c r="E59" s="10">
        <f t="shared" si="20"/>
        <v>5.7216024242267273E-2</v>
      </c>
      <c r="F59" s="10">
        <f t="shared" si="20"/>
        <v>0.23226950354609929</v>
      </c>
      <c r="G59" s="10">
        <f t="shared" si="20"/>
        <v>0.17036097771542655</v>
      </c>
      <c r="H59" s="10">
        <f t="shared" si="20"/>
        <v>0.17092106810963417</v>
      </c>
      <c r="I59" s="10">
        <f t="shared" si="20"/>
        <v>0.59477712742008104</v>
      </c>
      <c r="J59" s="10">
        <f t="shared" si="20"/>
        <v>0.53741349120320192</v>
      </c>
      <c r="K59" s="10">
        <f t="shared" si="20"/>
        <v>0.53879579248875709</v>
      </c>
      <c r="L59" s="10">
        <f t="shared" si="20"/>
        <v>0.14199097846310299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6164</v>
      </c>
      <c r="D65" s="27">
        <f>P12</f>
        <v>920482</v>
      </c>
      <c r="E65" s="27">
        <f>C65+D65</f>
        <v>926646</v>
      </c>
      <c r="F65" s="17">
        <f>P7</f>
        <v>1692</v>
      </c>
      <c r="G65" s="27">
        <f>P13</f>
        <v>185330</v>
      </c>
      <c r="H65" s="17">
        <f>SUM(F65:G65)</f>
        <v>187022</v>
      </c>
      <c r="I65" s="17">
        <f>P8</f>
        <v>4442</v>
      </c>
      <c r="J65" s="27">
        <f>P14</f>
        <v>179895</v>
      </c>
      <c r="K65" s="17">
        <f>SUM(I65:J65)</f>
        <v>184337</v>
      </c>
      <c r="L65" s="17">
        <f>H65+E65+K65</f>
        <v>1298005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B68:I68"/>
    <mergeCell ref="B69:I69"/>
    <mergeCell ref="B70:I71"/>
    <mergeCell ref="B41:C41"/>
    <mergeCell ref="B44:C44"/>
    <mergeCell ref="D44:F44"/>
    <mergeCell ref="G44:I44"/>
    <mergeCell ref="B51:C51"/>
    <mergeCell ref="C54:E54"/>
    <mergeCell ref="F54:H54"/>
    <mergeCell ref="B26:C26"/>
    <mergeCell ref="B29:C29"/>
    <mergeCell ref="D29:F29"/>
    <mergeCell ref="G29:I29"/>
    <mergeCell ref="O23:O25"/>
    <mergeCell ref="J29:L29"/>
    <mergeCell ref="B16:C16"/>
    <mergeCell ref="P14:Q14"/>
    <mergeCell ref="B19:C19"/>
    <mergeCell ref="D19:F19"/>
    <mergeCell ref="G19:I19"/>
    <mergeCell ref="P17:P19"/>
    <mergeCell ref="O17:O19"/>
    <mergeCell ref="J19:L19"/>
    <mergeCell ref="P5:Q5"/>
    <mergeCell ref="P7:Q7"/>
    <mergeCell ref="P8:Q8"/>
    <mergeCell ref="P9:Q9"/>
    <mergeCell ref="B2:M2"/>
    <mergeCell ref="B4:C4"/>
    <mergeCell ref="D4:F4"/>
    <mergeCell ref="G4:I4"/>
    <mergeCell ref="J4:L4"/>
    <mergeCell ref="J44:L44"/>
    <mergeCell ref="I54:K54"/>
    <mergeCell ref="P6:Q6"/>
    <mergeCell ref="P11:Q11"/>
    <mergeCell ref="P12:Q12"/>
    <mergeCell ref="P13:Q13"/>
    <mergeCell ref="P15:Q15"/>
    <mergeCell ref="O26:O29"/>
    <mergeCell ref="P26:P29"/>
    <mergeCell ref="P23:P25"/>
    <mergeCell ref="P20:P22"/>
    <mergeCell ref="O20:O22"/>
  </mergeCell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İşletmecisi",'[7]TABLO-1'!K4:K32873,"=Bildirimsiz",'[7]TABLO-1'!I4:I32873,"=Uzun",'[7]TABLO-1'!D4:D32873,"=BABAESKİ")/P6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İşletmecisi",'[7]TABLO-1'!K4:K32873,"=Bildirimsiz",'[7]TABLO-1'!I4:I32873,"=Uzun",'[7]TABLO-1'!D4:D32873,"=BABAESKİ")/P12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İşletmecisi",'[7]TABLO-1'!K4:K32873,"=Bildirimsiz",'[7]TABLO-1'!I4:I32873,"=Uzun",'[7]TABLO-1'!D4:D32873,"=BABAESKİ")/P7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İşletmecisi",'[7]TABLO-1'!K4:K32873,"=Bildirimsiz",'[7]TABLO-1'!I4:I32873,"=Uzun",'[7]TABLO-1'!D4:D32873,"=BABAESKİ")/P13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İşletmecisi",'[7]TABLO-1'!K4:K32873,"=Bildirimsiz",'[7]TABLO-1'!I4:I32873,"=Uzun",'[7]TABLO-1'!D4:D32873,"=BABAESKİ")/P8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İşletmecisi",'[7]TABLO-1'!K4:K32873,"=Bildirimsiz",'[7]TABLO-1'!I4:I32873,"=Uzun",'[7]TABLO-1'!D4:D32873,"=BABAESKİ")/P14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126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Sebep",'[7]TABLO-1'!K4:K32873,"=Bildirimsiz",'[7]TABLO-1'!I4:I32873,"=Uzun",'[7]TABLO-1'!D4:D32873,"=BABAESKİ")/P6</f>
        <v>0</v>
      </c>
      <c r="E7" s="10">
        <f>SUMIFS('[7]TABLO-1'!V4:V32873,'[7]TABLO-1'!H4:H32873,"=İletim",'[7]TABLO-1'!J4:J32873,"=Mücbir Sebep",'[7]TABLO-1'!K4:K32873,"=Bildirimsiz",'[7]TABLO-1'!I4:I32873,"=Uzun",'[7]TABLO-1'!D4:D32873,"=BABAESKİ")/P12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Sebep",'[7]TABLO-1'!K4:K32873,"=Bildirimsiz",'[7]TABLO-1'!I4:I32873,"=Uzun",'[7]TABLO-1'!D4:D32873,"=BABAESKİ")/P7</f>
        <v>0</v>
      </c>
      <c r="H7" s="10">
        <f>SUMIFS('[7]TABLO-1'!X4:X32873,'[7]TABLO-1'!H4:H32873,"=İletim",'[7]TABLO-1'!J4:J32873,"=Mücbir Sebep",'[7]TABLO-1'!K4:K32873,"=Bildirimsiz",'[7]TABLO-1'!I4:I32873,"=Uzun",'[7]TABLO-1'!D4:D32873,"=BABAESKİ")/P13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Sebep",'[7]TABLO-1'!K4:K32873,"=Bildirimsiz",'[7]TABLO-1'!I4:I32873,"=Uzun",'[7]TABLO-1'!D4:D32873,"=BABAESKİ")/P8</f>
        <v>0</v>
      </c>
      <c r="K7" s="10">
        <f>SUMIFS('[7]TABLO-1'!Z4:Z32873,'[7]TABLO-1'!H4:H32873,"=İletim",'[7]TABLO-1'!J4:J32873,"=Mücbir Sebep",'[7]TABLO-1'!K4:K32873,"=Bildirimsiz",'[7]TABLO-1'!I4:I32873,"=Uzun",'[7]TABLO-1'!D4:D32873,"=BABAESKİ")/P14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23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İşletmecisi",'[7]TABLO-1'!K4:K32873,"=Bildirimsiz",'[7]TABLO-1'!I4:I32873,"=Uzun",'[7]TABLO-1'!D4:D32873,"=BABAESKİ")/P6</f>
        <v>54.348148148357204</v>
      </c>
      <c r="E8" s="10">
        <f>SUMIFS('[7]TABLO-1'!V4:V32873,'[7]TABLO-1'!H4:H32873,"=Dağıtım-OG",'[7]TABLO-1'!J4:J32873,"=Şebeke İşletmecisi",'[7]TABLO-1'!K4:K32873,"=Bildirimsiz",'[7]TABLO-1'!I4:I32873,"=Uzun",'[7]TABLO-1'!D4:D32873,"=BABAESKİ")/P12</f>
        <v>41.205709198823435</v>
      </c>
      <c r="F8" s="10">
        <f t="shared" si="0"/>
        <v>41.284876732773874</v>
      </c>
      <c r="G8" s="10">
        <f>SUMIFS('[7]TABLO-1'!W4:W32873,'[7]TABLO-1'!H4:H32873,"=Dağıtım-OG",'[7]TABLO-1'!J4:J32873,"=Şebeke İşletmecisi",'[7]TABLO-1'!K4:K32873,"=Bildirimsiz",'[7]TABLO-1'!I4:I32873,"=Uzun",'[7]TABLO-1'!D4:D32873,"=BABAESKİ")/P7</f>
        <v>139.64492753148079</v>
      </c>
      <c r="H8" s="10">
        <f>SUMIFS('[7]TABLO-1'!X4:X32873,'[7]TABLO-1'!H4:H32873,"=Dağıtım-OG",'[7]TABLO-1'!J4:J32873,"=Şebeke İşletmecisi",'[7]TABLO-1'!K4:K32873,"=Bildirimsiz",'[7]TABLO-1'!I4:I32873,"=Uzun",'[7]TABLO-1'!D4:D32873,"=BABAESKİ")/P13</f>
        <v>150.32776154571303</v>
      </c>
      <c r="I8" s="10">
        <f t="shared" si="1"/>
        <v>150.26291457228274</v>
      </c>
      <c r="J8" s="10">
        <f>SUMIFS('[7]TABLO-1'!Y4:Y32873,'[7]TABLO-1'!H4:H32873,"=Dağıtım-OG",'[7]TABLO-1'!J4:J32873,"=Şebeke İşletmecisi",'[7]TABLO-1'!K4:K32873,"=Bildirimsiz",'[7]TABLO-1'!I4:I32873,"=Uzun",'[7]TABLO-1'!D4:D32873,"=BABAESKİ")/P8</f>
        <v>108.60921985690204</v>
      </c>
      <c r="K8" s="10">
        <f>SUMIFS('[7]TABLO-1'!Z4:Z32873,'[7]TABLO-1'!H4:H32873,"=Dağıtım-OG",'[7]TABLO-1'!J4:J32873,"=Şebeke İşletmecisi",'[7]TABLO-1'!K4:K32873,"=Bildirimsiz",'[7]TABLO-1'!I4:I32873,"=Uzun",'[7]TABLO-1'!D4:D32873,"=BABAESKİ")/P14</f>
        <v>91.290877781174771</v>
      </c>
      <c r="L8" s="10">
        <f t="shared" si="2"/>
        <v>91.535924066440955</v>
      </c>
      <c r="M8" s="11">
        <f t="shared" si="3"/>
        <v>67.637432818663854</v>
      </c>
      <c r="O8" s="20" t="s">
        <v>36</v>
      </c>
      <c r="P8" s="53">
        <v>141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SUMIFS('[7]TABLO-1'!U4:U32873,'[7]TABLO-1'!H4:H32873,"=Dağıtım-OG",'[7]TABLO-1'!J4:J32873,"=Dışsal",'[7]TABLO-1'!K4:K32873,"=Bildirimsiz",'[7]TABLO-1'!I4:I32873,"=Uzun",'[7]TABLO-1'!D4:D32873,"=BABAESKİ")/P6</f>
        <v>0</v>
      </c>
      <c r="E9" s="10">
        <f>SUMIFS('[7]TABLO-1'!V4:V32873,'[7]TABLO-1'!H4:H32873,"=Dağıtım-OG",'[7]TABLO-1'!J4:J32873,"=Dışsal",'[7]TABLO-1'!K4:K32873,"=Bildirimsiz",'[7]TABLO-1'!I4:I32873,"=Uzun",'[7]TABLO-1'!D4:D32873,"=BABAESKİ")/P12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SUMIFS('[7]TABLO-1'!W4:W32873,'[7]TABLO-1'!H4:H32873,"=Dağıtım-OG",'[7]TABLO-1'!J4:J32873,"=Dışsal",'[7]TABLO-1'!K4:K32873,"=Bildirimsiz",'[7]TABLO-1'!I4:I32873,"=Uzun",'[7]TABLO-1'!D4:D32873,"=BABAESKİ")/P7</f>
        <v>0</v>
      </c>
      <c r="H9" s="10">
        <f>SUMIFS('[7]TABLO-1'!X4:X32873,'[7]TABLO-1'!H4:H32873,"=Dağıtım-OG",'[7]TABLO-1'!J4:J32873,"=Dışsal",'[7]TABLO-1'!K4:K32873,"=Bildirimsiz",'[7]TABLO-1'!I4:I32873,"=Uzun",'[7]TABLO-1'!D4:D32873,"=BABAESKİ")/P13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SUMIFS('[7]TABLO-1'!Y4:Y32873,'[7]TABLO-1'!H4:H32873,"=Dağıtım-OG",'[7]TABLO-1'!J4:J32873,"=Dışsal",'[7]TABLO-1'!K4:K32873,"=Bildirimsiz",'[7]TABLO-1'!I4:I32873,"=Uzun",'[7]TABLO-1'!D4:D32873,"=BABAESKİ")/P8</f>
        <v>0</v>
      </c>
      <c r="K9" s="10">
        <f>SUMIFS('[7]TABLO-1'!Z4:Z32873,'[7]TABLO-1'!H4:H32873,"=Dağıtım-OG",'[7]TABLO-1'!J4:J32873,"=Dışsal",'[7]TABLO-1'!K4:K32873,"=Bildirimsiz",'[7]TABLO-1'!I4:I32873,"=Uzun",'[7]TABLO-1'!D4:D32873,"=BABAESKİ")/P14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290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Sebep",'[7]TABLO-1'!K4:K32873,"=Bildirimsiz",'[7]TABLO-1'!I4:I32873,"=Uzun",'[7]TABLO-1'!D4:D32873,"=BABAESKİ")/P6</f>
        <v>0</v>
      </c>
      <c r="E10" s="10">
        <f>SUMIFS('[7]TABLO-1'!V4:V32873,'[7]TABLO-1'!H4:H32873,"=Dağıtım-OG",'[7]TABLO-1'!J4:J32873,"=Mücbir Sebep",'[7]TABLO-1'!K4:K32873,"=Bildirimsiz",'[7]TABLO-1'!I4:I32873,"=Uzun",'[7]TABLO-1'!D4:D32873,"=BABAESKİ")/P12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Sebep",'[7]TABLO-1'!K4:K32873,"=Bildirimsiz",'[7]TABLO-1'!I4:I32873,"=Uzun",'[7]TABLO-1'!D4:D32873,"=BABAESKİ")/P7</f>
        <v>0</v>
      </c>
      <c r="H10" s="10">
        <f>SUMIFS('[7]TABLO-1'!X4:X32873,'[7]TABLO-1'!H4:H32873,"=Dağıtım-OG",'[7]TABLO-1'!J4:J32873,"=Mücbir Sebep",'[7]TABLO-1'!K4:K32873,"=Bildirimsiz",'[7]TABLO-1'!I4:I32873,"=Uzun",'[7]TABLO-1'!D4:D32873,"=BABAESKİ")/P13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Sebep",'[7]TABLO-1'!K4:K32873,"=Bildirimsiz",'[7]TABLO-1'!I4:I32873,"=Uzun",'[7]TABLO-1'!D4:D32873,"=BABAESKİ")/P8</f>
        <v>0</v>
      </c>
      <c r="K10" s="10">
        <f>SUMIFS('[7]TABLO-1'!Z4:Z32873,'[7]TABLO-1'!H4:H32873,"=Dağıtım-OG",'[7]TABLO-1'!J4:J32873,"=Mücbir Sebep",'[7]TABLO-1'!K4:K32873,"=Bildirimsiz",'[7]TABLO-1'!I4:I32873,"=Uzun",'[7]TABLO-1'!D4:D32873,"=BABAESKİ")/P14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SUMIFS('[7]TABLO-1'!U4:U32873,'[7]TABLO-1'!H4:H32873,"=Dağıtım-OG",'[7]TABLO-1'!J4:J32873,"=Güvenlik",'[7]TABLO-1'!K4:K32873,"=Bildirimsiz",'[7]TABLO-1'!I4:I32873,"=Uzun",'[7]TABLO-1'!D4:D32873,"=BABAESKİ")/P6</f>
        <v>0</v>
      </c>
      <c r="E11" s="10">
        <f>SUMIFS('[7]TABLO-1'!V4:V32873,'[7]TABLO-1'!H4:H32873,"=Dağıtım-OG",'[7]TABLO-1'!J4:J32873,"=Güvenlik",'[7]TABLO-1'!K4:K32873,"=Bildirimsiz",'[7]TABLO-1'!I4:I32873,"=Uzun",'[7]TABLO-1'!D4:D32873,"=BABAESKİ")/P12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SUMIFS('[7]TABLO-1'!W4:W32873,'[7]TABLO-1'!H4:H32873,"=Dağıtım-OG",'[7]TABLO-1'!J4:J32873,"=Güvenlik",'[7]TABLO-1'!K4:K32873,"=Bildirimsiz",'[7]TABLO-1'!I4:I32873,"=Uzun",'[7]TABLO-1'!D4:D32873,"=BABAESKİ")/P7</f>
        <v>0</v>
      </c>
      <c r="H11" s="10">
        <f>SUMIFS('[7]TABLO-1'!X4:X32873,'[7]TABLO-1'!H4:H32873,"=Dağıtım-OG",'[7]TABLO-1'!J4:J32873,"=Güvenlik",'[7]TABLO-1'!K4:K32873,"=Bildirimsiz",'[7]TABLO-1'!I4:I32873,"=Uzun",'[7]TABLO-1'!D4:D32873,"=BABAESKİ")/P13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SUMIFS('[7]TABLO-1'!Y4:Y32873,'[7]TABLO-1'!H4:H32873,"=Dağıtım-OG",'[7]TABLO-1'!J4:J32873,"=Güvenlik",'[7]TABLO-1'!K4:K32873,"=Bildirimsiz",'[7]TABLO-1'!I4:I32873,"=Uzun",'[7]TABLO-1'!D4:D32873,"=BABAESKİ")/P8</f>
        <v>0</v>
      </c>
      <c r="K11" s="10">
        <f>SUMIFS('[7]TABLO-1'!Z4:Z32873,'[7]TABLO-1'!H4:H32873,"=Dağıtım-OG",'[7]TABLO-1'!J4:J32873,"=Güvenlik",'[7]TABLO-1'!K4:K32873,"=Bildirimsiz",'[7]TABLO-1'!I4:I32873,"=Uzun",'[7]TABLO-1'!D4:D32873,"=BABAESKİ")/P14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İşletmecisi",'[7]TABLO-1'!K4:K32873,"=Bildirimsiz",'[7]TABLO-1'!I4:I32873,"=Uzun",'[7]TABLO-1'!D4:D32873,"=BABAESKİ")/P6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işletmecisi",'[7]TABLO-1'!K4:K32873,"=Bildirimsiz",'[7]TABLO-1'!I4:I32873,"=Uzun",'[7]TABLO-1'!D4:D32873,"=BABAESKİ")/P12</f>
        <v>2.2167107561701918</v>
      </c>
      <c r="F12" s="10">
        <f t="shared" si="0"/>
        <v>2.2033577153288935</v>
      </c>
      <c r="G12" s="12">
        <f>SUMIFS('[7]TABLO-1'!W4:W32873,'[7]TABLO-1'!H4:H32873,"=Dağıtım-AG",'[7]TABLO-1'!J4:J32873,"=Şebeke İşletmecisi",'[7]TABLO-1'!K4:K32873,"=Bildirimsiz",'[7]TABLO-1'!I4:I32873,"=Uzun",'[7]TABLO-1'!D4:D32873,"=BABAESKİ")/P7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İşletmecisi",'[7]TABLO-1'!K4:K32873,"=Bildirimsiz",'[7]TABLO-1'!I4:I32873,"=Uzun",'[7]TABLO-1'!D4:D32873,"=BABAESKİ")/P13</f>
        <v>6.8164498136254927</v>
      </c>
      <c r="I12" s="10">
        <f t="shared" si="1"/>
        <v>6.7750725780188983</v>
      </c>
      <c r="J12" s="12">
        <f>SUMIFS('[7]TABLO-1'!Y4:Y32873,'[7]TABLO-1'!H4:H32873,"=Dağıtım-AG",'[7]TABLO-1'!J4:J32873,"=Şebeke İşletmecisi",'[7]TABLO-1'!K4:K32873,"=Bildirimsiz",'[7]TABLO-1'!I4:I32873,"=Uzun",'[7]TABLO-1'!D4:D32873,"=BABAESKİ")/P8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İşletmecisi",'[7]TABLO-1'!K4:K32873,"=Bildirimsiz",'[7]TABLO-1'!I4:I32873,"=Uzun",'[7]TABLO-1'!D4:D32873,"=BABAESKİ")/P14</f>
        <v>15.818369978386036</v>
      </c>
      <c r="L12" s="10">
        <f t="shared" si="2"/>
        <v>15.594547583308021</v>
      </c>
      <c r="M12" s="11">
        <f t="shared" si="3"/>
        <v>6.5518170804797231</v>
      </c>
      <c r="O12" s="6" t="s">
        <v>33</v>
      </c>
      <c r="P12" s="42">
        <v>20791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SUMIFS('[7]TABLO-1'!U4:U32873,'[7]TABLO-1'!H4:H32873,"=Dağıtım-AG",'[7]TABLO-1'!J4:J32873,"=Dışsal",'[7]TABLO-1'!K4:K32873,"=Bildirimsiz",'[7]TABLO-1'!I4:I32873,"=Uzun",'[7]TABLO-1'!D4:D32873,"=BABAESKİ")/P6</f>
        <v>0</v>
      </c>
      <c r="E13" s="10">
        <f>SUMIFS('[7]TABLO-1'!V4:V32873,'[7]TABLO-1'!H4:H32873,"=Dağıtım-AG",'[7]TABLO-1'!J4:J32873,"=Dışsal",'[7]TABLO-1'!K4:K32873,"=Bildirimsiz",'[7]TABLO-1'!I4:I32873,"=Uzun",'[7]TABLO-1'!D4:D32873,"=BABAESKİ")/P12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SUMIFS('[7]TABLO-1'!W4:W32873,'[7]TABLO-1'!H4:H32873,"=Dağıtım-AG",'[7]TABLO-1'!J4:J32873,"=Dışsal",'[7]TABLO-1'!K4:K32873,"=Bildirimsiz",'[7]TABLO-1'!I4:I32873,"=Uzun",'[7]TABLO-1'!D4:D32873,"=BABAESKİ")/P7</f>
        <v>0</v>
      </c>
      <c r="H13" s="10">
        <f>SUMIFS('[7]TABLO-1'!X4:X32873,'[7]TABLO-1'!H4:H32873,"=Dağıtım-AG",'[7]TABLO-1'!J4:J32873,"=Dışsal",'[7]TABLO-1'!K4:K32873,"=Bildirimsiz",'[7]TABLO-1'!I4:I32873,"=Uzun",'[7]TABLO-1'!D4:D32873,"=BABAESKİ")/P13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SUMIFS('[7]TABLO-1'!Y4:Y32873,'[7]TABLO-1'!H4:H32873,"=Dağıtım-AG",'[7]TABLO-1'!J4:J32873,"=Dışsal",'[7]TABLO-1'!K4:K32873,"=Bildirimsiz",'[7]TABLO-1'!I4:I32873,"=Uzun",'[7]TABLO-1'!D4:D32873,"=BABAESKİ")/P8</f>
        <v>0</v>
      </c>
      <c r="K13" s="10">
        <f>SUMIFS('[7]TABLO-1'!Z4:Z32873,'[7]TABLO-1'!H4:H32873,"=Dağıtım-AG",'[7]TABLO-1'!J4:J32873,"=Dışsal",'[7]TABLO-1'!K4:K32873,"=Bildirimsiz",'[7]TABLO-1'!I4:I32873,"=Uzun",'[7]TABLO-1'!D4:D32873,"=BABAESKİ")/P14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3766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Sebep",'[7]TABLO-1'!K4:K32873,"=Bildirimsiz",'[7]TABLO-1'!I4:I32873,"=Uzun",'[7]TABLO-1'!D4:D32873,"=BABAESKİ")/P6</f>
        <v>0</v>
      </c>
      <c r="E14" s="10">
        <f>SUMIFS('[7]TABLO-1'!V4:V32873,'[7]TABLO-1'!H4:H32873,"=Dağıtım-AG",'[7]TABLO-1'!J4:J32873,"=Mücbir Sebep",'[7]TABLO-1'!K4:K32873,"=Bildirimsiz",'[7]TABLO-1'!I4:I32873,"=Uzun",'[7]TABLO-1'!D4:D32873,"=BABAESKİ")/P12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Sebep",'[7]TABLO-1'!K4:K32873,"=Bildirimsiz",'[7]TABLO-1'!I4:I32873,"=Uzun",'[7]TABLO-1'!D4:D32873,"=BABAESKİ")/P7</f>
        <v>0</v>
      </c>
      <c r="H14" s="10">
        <f>SUMIFS('[7]TABLO-1'!X4:X32873,'[7]TABLO-1'!H4:H32873,"=Dağıtım-AG",'[7]TABLO-1'!J4:J32873,"=Mücbir Sebep",'[7]TABLO-1'!K4:K32873,"=Bildirimsiz",'[7]TABLO-1'!I4:I32873,"=Uzun",'[7]TABLO-1'!D4:D32873,"=BABAESKİ")/P13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Sebep",'[7]TABLO-1'!K4:K32873,"=Bildirimsiz",'[7]TABLO-1'!I4:I32873,"=Uzun",'[7]TABLO-1'!D4:D32873,"=BABAESKİ")/P8</f>
        <v>0</v>
      </c>
      <c r="K14" s="10">
        <f>SUMIFS('[7]TABLO-1'!Z4:Z32873,'[7]TABLO-1'!H4:H32873,"=Dağıtım-AG",'[7]TABLO-1'!J4:J32873,"=Mücbir Sebep",'[7]TABLO-1'!K4:K32873,"=Bildirimsiz",'[7]TABLO-1'!I4:I32873,"=Uzun",'[7]TABLO-1'!D4:D32873,"=BABAESKİ")/P14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9824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SUMIFS('[7]TABLO-1'!U4:U32873,'[7]TABLO-1'!H4:H32873,"=Dağıtım-AG",'[7]TABLO-1'!J4:J32873,"=Güvenlik",'[7]TABLO-1'!K4:K32873,"=Bildirimsiz",'[7]TABLO-1'!I4:I32873,"=Uzun",'[7]TABLO-1'!D4:D32873,"=BABAESKİ")/P6</f>
        <v>0</v>
      </c>
      <c r="E15" s="10">
        <f>SUMIFS('[7]TABLO-1'!V4:V32873,'[7]TABLO-1'!H4:H32873,"=Dağıtım-AG",'[7]TABLO-1'!J4:J32873,"=Güvenlik",'[7]TABLO-1'!K4:K32873,"=Bildirimsiz",'[7]TABLO-1'!I4:I32873,"=Uzun",'[7]TABLO-1'!D4:D32873,"=BABAESKİ")/P12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SUMIFS('[7]TABLO-1'!W4:W32873,'[7]TABLO-1'!H4:H32873,"=Dağıtım-AG",'[7]TABLO-1'!J4:J32873,"=Güvenlik",'[7]TABLO-1'!K4:K32873,"=Bildirimsiz",'[7]TABLO-1'!I4:I32873,"=Uzun",'[7]TABLO-1'!D4:D32873,"=BABAESKİ")/P7</f>
        <v>0</v>
      </c>
      <c r="H15" s="10">
        <f>SUMIFS('[7]TABLO-1'!X4:X32873,'[7]TABLO-1'!H4:H32873,"=Dağıtım-AG",'[7]TABLO-1'!J4:J32873,"=Güvenlik",'[7]TABLO-1'!K4:K32873,"=Bildirimsiz",'[7]TABLO-1'!I4:I32873,"=Uzun",'[7]TABLO-1'!D4:D32873,"=BABAESKİ")/P13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SUMIFS('[7]TABLO-1'!Y4:Y32873,'[7]TABLO-1'!H4:H32873,"=Dağıtım-AG",'[7]TABLO-1'!J4:J32873,"=Güvenlik",'[7]TABLO-1'!K4:K32873,"=Bildirimsiz",'[7]TABLO-1'!I4:I32873,"=Uzun",'[7]TABLO-1'!D4:D32873,"=BABAESKİ")/P8</f>
        <v>0</v>
      </c>
      <c r="K15" s="10">
        <f>SUMIFS('[7]TABLO-1'!Z4:Z32873,'[7]TABLO-1'!H4:H32873,"=Dağıtım-AG",'[7]TABLO-1'!J4:J32873,"=Güvenlik",'[7]TABLO-1'!K4:K32873,"=Bildirimsiz",'[7]TABLO-1'!I4:I32873,"=Uzun",'[7]TABLO-1'!D4:D32873,"=BABAESKİ")/P14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34381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54.348148148357204</v>
      </c>
      <c r="E16" s="10">
        <f t="shared" si="4"/>
        <v>43.422419954993629</v>
      </c>
      <c r="F16" s="10">
        <f t="shared" si="4"/>
        <v>43.488234448102766</v>
      </c>
      <c r="G16" s="10">
        <f t="shared" si="4"/>
        <v>139.64492753148079</v>
      </c>
      <c r="H16" s="10">
        <f t="shared" si="4"/>
        <v>157.14421135933853</v>
      </c>
      <c r="I16" s="10">
        <f t="shared" si="4"/>
        <v>157.03798715030163</v>
      </c>
      <c r="J16" s="10">
        <f>SUM(J6:J15)</f>
        <v>108.60921985690204</v>
      </c>
      <c r="K16" s="10">
        <f>SUM(K6:K15)</f>
        <v>107.1092477595608</v>
      </c>
      <c r="L16" s="10">
        <f>SUM(L6:L15)</f>
        <v>107.13047164974898</v>
      </c>
      <c r="M16" s="11">
        <f t="shared" si="4"/>
        <v>74.189249899143576</v>
      </c>
    </row>
    <row r="17" spans="2:16" ht="15" customHeight="1" x14ac:dyDescent="0.25">
      <c r="B17" s="29"/>
      <c r="O17" s="50" t="s">
        <v>37</v>
      </c>
      <c r="P17" s="47">
        <f>P6+P12</f>
        <v>20917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3789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İşletmecisi",'[7]TABLO-1'!K4:K32873,"=Bildirimli",'[7]TABLO-1'!I4:I32873,"=Uzun",'[7]TABLO-1'!D4:D32873,"=BABAESKİ")/P6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İşletmecisi",'[7]TABLO-1'!K4:K32873,"=Bildirimli",'[7]TABLO-1'!I4:I32873,"=Uzun",'[7]TABLO-1'!D4:D32873,"=BABAESKİ")/P12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İşletmecisi",'[7]TABLO-1'!K4:K32873,"=Bildirimli",'[7]TABLO-1'!I4:I32873,"=Uzun",'[7]TABLO-1'!D4:D32873,"=BABAESKİ")/P7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İşletmecisi",'[7]TABLO-1'!K4:K32873,"=Bildirimli",'[7]TABLO-1'!I4:I32873,"=Uzun",'[7]TABLO-1'!D4:D32873,"=BABAESKİ")/P13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İşletmecisi",'[7]TABLO-1'!K4:K32873,"=Bildirimli",'[7]TABLO-1'!I4:I32873,"=Uzun",'[7]TABLO-1'!D4:D32873,"=BABAESKİ")/P8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İşletmecisi",'[7]TABLO-1'!K4:K32873,"=Bildirimli",'[7]TABLO-1'!I4:I32873,"=Uzun",'[7]TABLO-1'!D4:D32873,"=BABAESKİ")/P14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İşletmecisi",'[7]TABLO-1'!K4:K32873,"=Bildirimli",'[7]TABLO-1'!I4:I32873,"=Uzun",'[7]TABLO-1'!D4:D32873,"=BABAESKİ")/P6</f>
        <v>74.257010579292128</v>
      </c>
      <c r="E22" s="10">
        <f>SUMIFS('[7]TABLO-1'!V4:V32873,'[7]TABLO-1'!H4:H32873,"=Dağıtım-OG",'[7]TABLO-1'!J4:J32873,"=Şebeke İşletmecisi",'[7]TABLO-1'!K4:K32873,"=Bildirimli",'[7]TABLO-1'!I4:I32873,"=Uzun",'[7]TABLO-1'!D4:D32873,"=BABAESKİ")/P12</f>
        <v>12.344670771270382</v>
      </c>
      <c r="F22" s="10">
        <f t="shared" ref="F22:F25" si="5">IFERROR((((D22*$P$6)+(E22*$P$12))/$P$17),"0,00")</f>
        <v>12.717618842973339</v>
      </c>
      <c r="G22" s="10">
        <f>SUMIFS('[7]TABLO-1'!W4:W32873,'[7]TABLO-1'!H4:H32873,"=Dağıtım-OG",'[7]TABLO-1'!J4:J32873,"=Şebeke İşletmecisi",'[7]TABLO-1'!K4:K32873,"=Bildirimli",'[7]TABLO-1'!I4:I32873,"=Uzun",'[7]TABLO-1'!D4:D32873,"=BABAESKİ")/P7</f>
        <v>334.5304347799443</v>
      </c>
      <c r="H22" s="10">
        <f>SUMIFS('[7]TABLO-1'!X4:X32873,'[7]TABLO-1'!H4:H32873,"=Dağıtım-OG",'[7]TABLO-1'!J4:J32873,"=Şebeke İşletmecisi",'[7]TABLO-1'!K4:K32873,"=Bildirimli",'[7]TABLO-1'!I4:I32873,"=Uzun",'[7]TABLO-1'!D4:D32873,"=BABAESKİ")/P13</f>
        <v>271.08348379832614</v>
      </c>
      <c r="I22" s="10">
        <f t="shared" ref="I22:I25" si="6">IFERROR((((G22*$P$7)+(H22*$P$13))/$P$20),"0,00")</f>
        <v>271.46861968446422</v>
      </c>
      <c r="J22" s="10">
        <f>SUMIFS('[7]TABLO-1'!Y4:Y32873,'[7]TABLO-1'!H4:H32873,"=Dağıtım-OG",'[7]TABLO-1'!J4:J32873,"=Şebeke İşletmecisi",'[7]TABLO-1'!K4:K32873,"=Bildirimli",'[7]TABLO-1'!I4:I32873,"=Uzun",'[7]TABLO-1'!D4:D32873,"=BABAESKİ")/P8</f>
        <v>333.3499999957387</v>
      </c>
      <c r="K22" s="10">
        <f>SUMIFS('[7]TABLO-1'!Z4:Z32873,'[7]TABLO-1'!H4:H32873,"=Dağıtım-OG",'[7]TABLO-1'!J4:J32873,"=Şebeke İşletmecisi",'[7]TABLO-1'!K4:K32873,"=Bildirimli",'[7]TABLO-1'!I4:I32873,"=Uzun",'[7]TABLO-1'!D4:D32873,"=BABAESKİ")/P14</f>
        <v>313.58177761494409</v>
      </c>
      <c r="L22" s="10">
        <f t="shared" ref="L22:L25" si="7">IFERROR((((J22*$P$8)+(K22*$P$14))/$P$23),"0,00")</f>
        <v>313.86148853874653</v>
      </c>
      <c r="M22" s="11">
        <f t="shared" ref="M22:M25" si="8">IFERROR((((F22*$P$17)+(I22*$P$20)+(L22*$P$23))/$P$26),"0,00")</f>
        <v>127.54863622657314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SUMIFS('[7]TABLO-1'!U4:U32873,'[7]TABLO-1'!H4:H32873,"=Dağıtım-OG",'[7]TABLO-1'!J4:J32873,"=Güvenlik",'[7]TABLO-1'!K4:K32873,"=Bildirimli",'[7]TABLO-1'!I4:I32873,"=Uzun",'[7]TABLO-1'!D4:D32873,"=BABAESKİ")/P6</f>
        <v>0</v>
      </c>
      <c r="E23" s="10">
        <f>SUMIFS('[7]TABLO-1'!V4:V32873,'[7]TABLO-1'!H4:H32873,"=Dağıtım-OG",'[7]TABLO-1'!J4:J32873,"=Güvenlik",'[7]TABLO-1'!K4:K32873,"=Bildirimli",'[7]TABLO-1'!I4:I32873,"=Uzun",'[7]TABLO-1'!D4:D32873,"=BABAESKİ")/P12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SUMIFS('[7]TABLO-1'!W4:W32873,'[7]TABLO-1'!H4:H32873,"=Dağıtım-OG",'[7]TABLO-1'!J4:J32873,"=Güvenlik",'[7]TABLO-1'!K4:K32873,"=Bildirimli",'[7]TABLO-1'!I4:I32873,"=Uzun",'[7]TABLO-1'!D4:D32873,"=BABAESKİ")/P7</f>
        <v>0</v>
      </c>
      <c r="H23" s="10">
        <f>SUMIFS('[7]TABLO-1'!X4:X32873,'[7]TABLO-1'!H4:H32873,"=Dağıtım-OG",'[7]TABLO-1'!J4:J32873,"=Güvenlik",'[7]TABLO-1'!K4:K32873,"=Bildirimli",'[7]TABLO-1'!I4:I32873,"=Uzun",'[7]TABLO-1'!D4:D32873,"=BABAESKİ")/P13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SUMIFS('[7]TABLO-1'!Y4:Y32873,'[7]TABLO-1'!H4:H32873,"=Dağıtım-OG",'[7]TABLO-1'!J4:J32873,"=Güvenlik",'[7]TABLO-1'!K4:K32873,"=Bildirimli",'[7]TABLO-1'!I4:I32873,"=Uzun",'[7]TABLO-1'!D4:D32873,"=BABAESKİ")/P8</f>
        <v>0</v>
      </c>
      <c r="K23" s="10">
        <f>SUMIFS('[7]TABLO-1'!Z4:Z32873,'[7]TABLO-1'!H4:H32873,"=Dağıtım-OG",'[7]TABLO-1'!J4:J32873,"=Güvenlik",'[7]TABLO-1'!K4:K32873,"=Bildirimli",'[7]TABLO-1'!I4:I32873,"=Uzun",'[7]TABLO-1'!D4:D32873,"=BABAESKİ")/P14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9965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İşletmecisi",'[7]TABLO-1'!K4:K32873,"=Bildirimli",'[7]TABLO-1'!I4:I32873,"=Uzun",'[7]TABLO-1'!D4:D32873,"=BABAESKİ")/P6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İşletmecisi",'[7]TABLO-1'!K4:K32873,"=Bildirimli",'[7]TABLO-1'!I4:I32873,"=Uzun",'[7]TABLO-1'!D4:D32873,"=BABAESKİ")/P12</f>
        <v>3.0481137671393623E-2</v>
      </c>
      <c r="F24" s="10">
        <f t="shared" si="5"/>
        <v>3.0297525138688379E-2</v>
      </c>
      <c r="G24" s="12">
        <f>SUMIFS('[7]TABLO-1'!W4:W32873,'[7]TABLO-1'!H4:H32873,"=Dağıtım-AG",'[7]TABLO-1'!J4:J32873,"=Şebeke İşletmecisi",'[7]TABLO-1'!K4:K32873,"=Bildirimli",'[7]TABLO-1'!I4:I32873,"=Uzun",'[7]TABLO-1'!D4:D32873,"=BABAESKİ")/P7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İşletmecisi",'[7]TABLO-1'!K4:K32873,"=Bildirimli",'[7]TABLO-1'!I4:I32873,"=Uzun",'[7]TABLO-1'!D4:D32873,"=BABAESKİ")/P13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İşletmecisi",'[7]TABLO-1'!K4:K32873,"=Bildirimli",'[7]TABLO-1'!I4:I32873,"=Uzun",'[7]TABLO-1'!D4:D32873,"=BABAESKİ")/P8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İşletmecisi",'[7]TABLO-1'!K4:K32873,"=Bildirimli",'[7]TABLO-1'!I4:I32873,"=Uzun",'[7]TABLO-1'!D4:D32873,"=BABAESKİ")/P14</f>
        <v>34.357870181890611</v>
      </c>
      <c r="L24" s="10">
        <f t="shared" si="7"/>
        <v>33.871722696125772</v>
      </c>
      <c r="M24" s="11">
        <f t="shared" si="8"/>
        <v>9.7535534019849237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SUMIFS('[7]TABLO-1'!U4:U32873,'[7]TABLO-1'!H4:H32873,"=Dağıtım-AG",'[7]TABLO-1'!J4:J32873,"=Güvenlik",'[7]TABLO-1'!K4:K32873,"=Bildirimli",'[7]TABLO-1'!I4:I32873,"=Uzun",'[7]TABLO-1'!D4:D32873,"=BABAESKİ")/P6</f>
        <v>0</v>
      </c>
      <c r="E25" s="10">
        <f>SUMIFS('[7]TABLO-1'!V4:V32873,'[7]TABLO-1'!H4:H32873,"=Dağıtım-AG",'[7]TABLO-1'!J4:J32873,"=Güvenlik",'[7]TABLO-1'!K4:K32873,"=Bildirimli",'[7]TABLO-1'!I4:I32873,"=Uzun",'[7]TABLO-1'!D4:D32873,"=BABAESKİ")/P12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SUMIFS('[7]TABLO-1'!W4:W32873,'[7]TABLO-1'!H4:H32873,"=Dağıtım-AG",'[7]TABLO-1'!J4:J32873,"=Güvenlik",'[7]TABLO-1'!K4:K32873,"=Bildirimli",'[7]TABLO-1'!I4:I32873,"=Uzun",'[7]TABLO-1'!D4:D32873,"=BABAESKİ")/P7</f>
        <v>0</v>
      </c>
      <c r="H25" s="10">
        <f>SUMIFS('[7]TABLO-1'!X4:X32873,'[7]TABLO-1'!H4:H32873,"=Dağıtım-AG",'[7]TABLO-1'!J4:J32873,"=Güvenlik",'[7]TABLO-1'!K4:K32873,"=Bildirimli",'[7]TABLO-1'!I4:I32873,"=Uzun",'[7]TABLO-1'!D4:D32873,"=BABAESKİ")/P13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SUMIFS('[7]TABLO-1'!Y4:Y32873,'[7]TABLO-1'!H4:H32873,"=Dağıtım-AG",'[7]TABLO-1'!J4:J32873,"=Güvenlik",'[7]TABLO-1'!K4:K32873,"=Bildirimli",'[7]TABLO-1'!I4:I32873,"=Uzun",'[7]TABLO-1'!D4:D32873,"=BABAESKİ")/P8</f>
        <v>0</v>
      </c>
      <c r="K25" s="10">
        <f>SUMIFS('[7]TABLO-1'!Z4:Z32873,'[7]TABLO-1'!H4:H32873,"=Dağıtım-AG",'[7]TABLO-1'!J4:J32873,"=Güvenlik",'[7]TABLO-1'!K4:K32873,"=Bildirimli",'[7]TABLO-1'!I4:I32873,"=Uzun",'[7]TABLO-1'!D4:D32873,"=BABAESKİ")/P14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74.257010579292128</v>
      </c>
      <c r="E26" s="10">
        <f t="shared" ref="E26:M26" si="9">SUM(E21:E25)</f>
        <v>12.375151908941776</v>
      </c>
      <c r="F26" s="10">
        <f t="shared" si="9"/>
        <v>12.747916368112028</v>
      </c>
      <c r="G26" s="10">
        <f t="shared" si="9"/>
        <v>334.5304347799443</v>
      </c>
      <c r="H26" s="10">
        <f t="shared" si="9"/>
        <v>271.08348379832614</v>
      </c>
      <c r="I26" s="10">
        <f t="shared" si="9"/>
        <v>271.46861968446422</v>
      </c>
      <c r="J26" s="10">
        <f t="shared" si="9"/>
        <v>333.3499999957387</v>
      </c>
      <c r="K26" s="10">
        <f t="shared" si="9"/>
        <v>347.93964779683472</v>
      </c>
      <c r="L26" s="10">
        <f t="shared" si="9"/>
        <v>347.73321123487233</v>
      </c>
      <c r="M26" s="11">
        <f t="shared" si="9"/>
        <v>137.30218962855807</v>
      </c>
      <c r="O26" s="43" t="s">
        <v>22</v>
      </c>
      <c r="P26" s="44">
        <f>P20+P17+P23</f>
        <v>34671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İşletmecisi",'[7]TABLO-1'!K4:K32873,"=Bildirimsiz",'[7]TABLO-1'!I4:I32873,"=Uzun",'[7]TABLO-1'!D4:D32873,"=BABAESKİ")/P6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İşletmecisi",'[7]TABLO-1'!K4:K32873,"=Bildirimsiz",'[7]TABLO-1'!I4:I32873,"=Uzun",'[7]TABLO-1'!D4:D32873,"=BABAESKİ")/P12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İşletmecisi",'[7]TABLO-1'!K4:K32873,"=Bildirimsiz",'[7]TABLO-1'!I4:I32873,"=Uzun",'[7]TABLO-1'!D4:D32873,"=BABAESKİ")/P7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İşletmecisi",'[7]TABLO-1'!K4:K32873,"=Bildirimsiz",'[7]TABLO-1'!I4:I32873,"=Uzun",'[7]TABLO-1'!D4:D32873,"=BABAESKİ")/P13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İşletmecisi",'[7]TABLO-1'!K4:K32873,"=Bildirimsiz",'[7]TABLO-1'!I4:I32873,"=Uzun",'[7]TABLO-1'!D4:D32873,"=BABAESKİ")/P8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İşletmecisi",'[7]TABLO-1'!K4:K32873,"=bildirimsiz",'[7]TABLO-1'!I4:I32873,"=Uzun",'[7]TABLO-1'!D4:D32873,"=BABAESKİ")/P14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Sebep",'[7]TABLO-1'!K4:K32873,"=Bildirimsiz",'[7]TABLO-1'!I4:I32873,"=Uzun",'[7]TABLO-1'!D4:D32873,"=BABAESKİ")/P6</f>
        <v>0</v>
      </c>
      <c r="E32" s="10">
        <f>SUMIFS('[7]TABLO-1'!P4:P32873,'[7]TABLO-1'!H4:H32873,"=İletim",'[7]TABLO-1'!J4:J32873,"=Mücbir Sebep",'[7]TABLO-1'!K4:K32873,"=Bildirimsiz",'[7]TABLO-1'!I4:I32873,"=Uzun",'[7]TABLO-1'!D4:D32873,"=BABAESKİ")/P12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Sebep",'[7]TABLO-1'!K4:K32873,"=Bildirimsiz",'[7]TABLO-1'!I4:I32873,"=Uzun",'[7]TABLO-1'!D4:D32873,"=BABAESKİ")/P7</f>
        <v>0</v>
      </c>
      <c r="H32" s="10">
        <f>SUMIFS('[7]TABLO-1'!R4:R32873,'[7]TABLO-1'!H4:H32873,"=İletim",'[7]TABLO-1'!J4:J32873,"=Mücbir Sebep",'[7]TABLO-1'!K4:K32873,"=Bildirimsiz",'[7]TABLO-1'!I4:I32873,"=Uzun",'[7]TABLO-1'!D4:D32873,"=BABAESKİ")/P13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Sebep",'[7]TABLO-1'!K4:K32873,"=Bildirimsiz",'[7]TABLO-1'!I4:I32873,"=Uzun",'[7]TABLO-1'!D4:D32873,"=BABAESKİ")/P8</f>
        <v>0</v>
      </c>
      <c r="K32" s="10">
        <f>SUMIFS('[7]TABLO-1'!T4:T32873,'[7]TABLO-1'!H4:H32873,"=İletim",'[7]TABLO-1'!J4:J32873,"=Mücbir Sebep",'[7]TABLO-1'!K4:K32873,"=bildirimsiz",'[7]TABLO-1'!I4:I32873,"=Uzun",'[7]TABLO-1'!D4:D32873,"=BABAESKİ")/P14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İşletmecisi",'[7]TABLO-1'!K4:K32873,"=Bildirimsiz",'[7]TABLO-1'!I4:I32873,"=Uzun",'[7]TABLO-1'!D4:D32873,"=BABAESKİ")/P6</f>
        <v>1.0634920634920635</v>
      </c>
      <c r="E33" s="10">
        <f>SUMIFS('[7]TABLO-1'!P4:P32873,'[7]TABLO-1'!H4:H32873,"=Dağıtım-OG",'[7]TABLO-1'!J4:J32873,"=Şebeke İşletmecisi",'[7]TABLO-1'!K4:K32873,"=Bildirimsiz",'[7]TABLO-1'!I4:I32873,"=Uzun",'[7]TABLO-1'!D4:D32873,"=BABAESKİ")/P12</f>
        <v>0.99384348997162231</v>
      </c>
      <c r="F33" s="10">
        <f t="shared" si="10"/>
        <v>0.99426303963283458</v>
      </c>
      <c r="G33" s="10">
        <f>SUMIFS('[7]TABLO-1'!Q4:Q32873,'[7]TABLO-1'!H4:H32873,"=Dağıtım-OG",'[7]TABLO-1'!J4:J32873,"=Şebeke İşletmecisi",'[7]TABLO-1'!K4:K32873,"=Bildirimsiz",'[7]TABLO-1'!I4:I32873,"=Uzun",'[7]TABLO-1'!D4:D32873,"=BABAESKİ")/P7</f>
        <v>2.3043478260869565</v>
      </c>
      <c r="H33" s="10">
        <f>SUMIFS('[7]TABLO-1'!R4:R32873,'[7]TABLO-1'!H4:H32873,"=Dağıtım-OG",'[7]TABLO-1'!J4:J32873,"=Şebeke İşletmecisi",'[7]TABLO-1'!K4:K32873,"=Bildirimsiz",'[7]TABLO-1'!I4:I32873,"=Uzun",'[7]TABLO-1'!D4:D32873,"=BABAESKİ")/P13</f>
        <v>2.7626128518321829</v>
      </c>
      <c r="I33" s="10">
        <f t="shared" si="11"/>
        <v>2.7598310899973608</v>
      </c>
      <c r="J33" s="10">
        <f>SUMIFS('[7]TABLO-1'!S4:S32873,'[7]TABLO-1'!H4:H32873,"=Dağıtım-OG",'[7]TABLO-1'!J4:J32873,"=Şebeke İşletmecisi",'[7]TABLO-1'!K4:K32873,"=Bildirimsiz",'[7]TABLO-1'!I4:I32873,"=Uzun",'[7]TABLO-1'!D4:D32873,"=BABAESKİ")/P8</f>
        <v>1.8510638297872339</v>
      </c>
      <c r="K33" s="10">
        <f>SUMIFS('[7]TABLO-1'!T4:T32873,'[7]TABLO-1'!H4:H32873,"=Dağıtım-OG",'[7]TABLO-1'!J4:J32873,"=Şebeke İşletmecisi",'[7]TABLO-1'!K4:K32873,"=bildirimsiz",'[7]TABLO-1'!I4:I32873,"=Uzun",'[7]TABLO-1'!D4:D32873,"=BABAESKİ")/P14</f>
        <v>1.7566164495114007</v>
      </c>
      <c r="L33" s="10">
        <f t="shared" si="12"/>
        <v>1.7579528349222278</v>
      </c>
      <c r="M33" s="11">
        <f t="shared" si="13"/>
        <v>1.406708776787517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SUMIFS('[7]TABLO-1'!O4:O32873,'[7]TABLO-1'!H4:H32873,"=Dağıtım-OG",'[7]TABLO-1'!J4:J32873,"=Dışsal",'[7]TABLO-1'!K4:K32873,"=Bildirimsiz",'[7]TABLO-1'!I4:I32873,"=Uzun",'[7]TABLO-1'!D4:D32873,"=BABAESKİ")/P6</f>
        <v>0</v>
      </c>
      <c r="E34" s="10">
        <f>SUMIFS('[7]TABLO-1'!P4:P32873,'[7]TABLO-1'!H4:H32873,"=Dağıtım-OG",'[7]TABLO-1'!J4:J32873,"=Dışsal",'[7]TABLO-1'!K4:K32873,"=Bildirimsiz",'[7]TABLO-1'!I4:I32873,"=Uzun",'[7]TABLO-1'!D4:D32873,"=BABAESKİ")/P12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SUMIFS('[7]TABLO-1'!Q4:Q32873,'[7]TABLO-1'!H4:H32873,"=Dağıtım-OG",'[7]TABLO-1'!J4:J32873,"=Dışsal",'[7]TABLO-1'!K4:K32873,"=Bildirimsiz",'[7]TABLO-1'!I4:I32873,"=Uzun",'[7]TABLO-1'!D4:D32873,"=BABAESKİ")/P7</f>
        <v>0</v>
      </c>
      <c r="H34" s="10">
        <f>SUMIFS('[7]TABLO-1'!R4:R32873,'[7]TABLO-1'!H4:H32873,"=Dağıtım-OG",'[7]TABLO-1'!J4:J32873,"=Dışsal",'[7]TABLO-1'!K4:K32873,"=Bildirimsiz",'[7]TABLO-1'!I4:I32873,"=Uzun",'[7]TABLO-1'!D4:D32873,"=BABAESKİ")/P13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SUMIFS('[7]TABLO-1'!S4:S32873,'[7]TABLO-1'!H4:H32873,"=Dağıtım-OG",'[7]TABLO-1'!J4:J32873,"=Dışsal",'[7]TABLO-1'!K4:K32873,"=Bildirimsiz",'[7]TABLO-1'!I4:I32873,"=Uzun",'[7]TABLO-1'!D4:D32873,"=BABAESKİ")/P8</f>
        <v>0</v>
      </c>
      <c r="K34" s="10">
        <f>SUMIFS('[7]TABLO-1'!T4:T32873,'[7]TABLO-1'!H4:H32873,"=Dağıtım-OG",'[7]TABLO-1'!J4:J32873,"=Dışsal",'[7]TABLO-1'!K4:K32873,"=bildirimsiz",'[7]TABLO-1'!I4:I32873,"=Uzun",'[7]TABLO-1'!D4:D32873,"=BABAESKİ")/P14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Sebep",'[7]TABLO-1'!K4:K32873,"=Bildirimsiz",'[7]TABLO-1'!I4:I32873,"=Uzun",'[7]TABLO-1'!D4:D32873,"=BABAESKİ")/P6</f>
        <v>0</v>
      </c>
      <c r="E35" s="10">
        <f>SUMIFS('[7]TABLO-1'!P4:P32873,'[7]TABLO-1'!H4:H32873,"=Dağıtım-OG",'[7]TABLO-1'!J4:J32873,"=Mücbir Sebep",'[7]TABLO-1'!K4:K32873,"=Bildirimsiz",'[7]TABLO-1'!I4:I32873,"=Uzun",'[7]TABLO-1'!D4:D32873,"=BABAESKİ")/P12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Sebep",'[7]TABLO-1'!K4:K32873,"=Bildirimsiz",'[7]TABLO-1'!I4:I32873,"=Uzun",'[7]TABLO-1'!D4:D32873,"=BABAESKİ")/P7</f>
        <v>0</v>
      </c>
      <c r="H35" s="10">
        <f>SUMIFS('[7]TABLO-1'!R4:R32873,'[7]TABLO-1'!H4:H32873,"=Dağıtım-OG",'[7]TABLO-1'!J4:J32873,"=Mücbir Sebep",'[7]TABLO-1'!K4:K32873,"=Bildirimsiz",'[7]TABLO-1'!I4:I32873,"=Uzun",'[7]TABLO-1'!D4:D32873,"=BABAESKİ")/P13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Sebep",'[7]TABLO-1'!K4:K32873,"=Bildirimsiz",'[7]TABLO-1'!I4:I32873,"=Uzun",'[7]TABLO-1'!D4:D32873,"=BABAESKİ")/P8</f>
        <v>0</v>
      </c>
      <c r="K35" s="10">
        <f>SUMIFS('[7]TABLO-1'!T4:T32873,'[7]TABLO-1'!H4:H32873,"=Dağıtım-OG",'[7]TABLO-1'!J4:J32873,"=Mücbir Sebep",'[7]TABLO-1'!K4:K32873,"=bildirimsiz",'[7]TABLO-1'!I4:I32873,"=Uzun",'[7]TABLO-1'!D4:D32873,"=BABAESKİ")/P14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SUMIFS('[7]TABLO-1'!O4:O32873,'[7]TABLO-1'!H4:H32873,"=Dağıtım-OG",'[7]TABLO-1'!J4:J32873,"=Güvenlik",'[7]TABLO-1'!K4:K32873,"=Bildirimsiz",'[7]TABLO-1'!I4:I32873,"=Uzun",'[7]TABLO-1'!D4:D32873,"=BABAESKİ")/P6</f>
        <v>0</v>
      </c>
      <c r="E36" s="10">
        <f>SUMIFS('[7]TABLO-1'!P4:P32873,'[7]TABLO-1'!H4:H32873,"=Dağıtım-OG",'[7]TABLO-1'!J4:J32873,"=Güvenlik",'[7]TABLO-1'!K4:K32873,"=Bildirimsiz",'[7]TABLO-1'!I4:I32873,"=Uzun",'[7]TABLO-1'!D4:D32873,"=BABAESKİ")/P12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SUMIFS('[7]TABLO-1'!Q4:Q32873,'[7]TABLO-1'!H4:H32873,"=Dağıtım-OG",'[7]TABLO-1'!J4:J32873,"=Güvenlik",'[7]TABLO-1'!K4:K32873,"=Bildirimsiz",'[7]TABLO-1'!I4:I32873,"=Uzun",'[7]TABLO-1'!D4:D32873,"=BABAESKİ")/P7</f>
        <v>0</v>
      </c>
      <c r="H36" s="10">
        <f>SUMIFS('[7]TABLO-1'!R4:R32873,'[7]TABLO-1'!H4:H32873,"=Dağıtım-OG",'[7]TABLO-1'!J4:J32873,"=Güvenlik",'[7]TABLO-1'!K4:K32873,"=Bildirimsiz",'[7]TABLO-1'!I4:I32873,"=Uzun",'[7]TABLO-1'!D4:D32873,"=BABAESKİ")/P13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SUMIFS('[7]TABLO-1'!S4:S32873,'[7]TABLO-1'!H4:H32873,"=Dağıtım-OG",'[7]TABLO-1'!J4:J32873,"=Güvenlik",'[7]TABLO-1'!K4:K32873,"=Bildirimsiz",'[7]TABLO-1'!I4:I32873,"=Uzun",'[7]TABLO-1'!D4:D32873,"=BABAESKİ")/P8</f>
        <v>0</v>
      </c>
      <c r="K36" s="10">
        <f>SUMIFS('[7]TABLO-1'!T4:T32873,'[7]TABLO-1'!H4:H32873,"=Dağıtım-OG",'[7]TABLO-1'!J4:J32873,"=Güvenlik",'[7]TABLO-1'!K4:K32873,"=bildirimsiz",'[7]TABLO-1'!I4:I32873,"=Uzun",'[7]TABLO-1'!D4:D32873,"=BABAESKİ")/P14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İşletmecisi",'[7]TABLO-1'!K4:K32873,"=Bildirimsiz",'[7]TABLO-1'!I4:I32873,"=Uzun",'[7]TABLO-1'!D4:D32873,"=BABAESKİ")/P6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İşletmecisi",'[7]TABLO-1'!K4:K32873,"=Bildirimsiz",'[7]TABLO-1'!I4:I32873,"=Uzun",'[7]TABLO-1'!D4:D32873,"=BABAESKİ")/P12</f>
        <v>7.9746043961329421E-2</v>
      </c>
      <c r="F37" s="10">
        <f t="shared" si="10"/>
        <v>7.9265669073002823E-2</v>
      </c>
      <c r="G37" s="12">
        <f>SUMIFS('[7]TABLO-1'!Q4:Q32873,'[7]TABLO-1'!H4:H32873,"=Dağıtım-AG",'[7]TABLO-1'!J4:J32873,"=Şebeke İşletmecisi",'[7]TABLO-1'!K4:K32873,"=Bildirimsiz",'[7]TABLO-1'!I4:I32873,"=Uzun",'[7]TABLO-1'!D4:D32873,"=BABAESKİ")/P7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İşletmecisi",'[7]TABLO-1'!K4:K32873,"=Bildirimsiz",'[7]TABLO-1'!I4:I32873,"=Uzun",'[7]TABLO-1'!D4:D32873,"=BABAESKİ")/P13</f>
        <v>0.19516728624535315</v>
      </c>
      <c r="I37" s="10">
        <f t="shared" si="11"/>
        <v>0.19398258115597783</v>
      </c>
      <c r="J37" s="12">
        <f>SUMIFS('[7]TABLO-1'!S4:S32873,'[7]TABLO-1'!H4:H32873,"=Dağıtım-AG",'[7]TABLO-1'!J4:J32873,"=Şebeke İşletmecisi",'[7]TABLO-1'!K4:K32873,"=Bildirimsiz",'[7]TABLO-1'!I4:I32873,"=Uzun",'[7]TABLO-1'!D4:D32873,"=BABAESKİ")/P8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İşletmecisi",'[7]TABLO-1'!K4:K32873,"=bildirimsiz",'[7]TABLO-1'!I4:I32873,"=Uzun",'[7]TABLO-1'!D4:D32873,"=BABAESKİ")/P14</f>
        <v>0.21885179153094461</v>
      </c>
      <c r="L37" s="10">
        <f t="shared" si="12"/>
        <v>0.21575514300050175</v>
      </c>
      <c r="M37" s="11">
        <f t="shared" si="13"/>
        <v>0.13103169796083181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SUMIFS('[7]TABLO-1'!O4:O32873,'[7]TABLO-1'!H4:H32873,"=Dağıtım-AG",'[7]TABLO-1'!J4:J32873,"=Dışsal",'[7]TABLO-1'!K4:K32873,"=Bildirimsiz",'[7]TABLO-1'!I4:I32873,"=Uzun",'[7]TABLO-1'!D4:D32873,"=BABAESKİ")/P6</f>
        <v>0</v>
      </c>
      <c r="E38" s="10">
        <f>SUMIFS('[7]TABLO-1'!P4:P32873,'[7]TABLO-1'!H4:H32873,"=Dağıtım-AG",'[7]TABLO-1'!J4:J32873,"=Dışsal",'[7]TABLO-1'!K4:K32873,"=Bildirimsiz",'[7]TABLO-1'!I4:I32873,"=Uzun",'[7]TABLO-1'!D4:D32873,"=BABAESKİ")/P12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SUMIFS('[7]TABLO-1'!Q4:Q32873,'[7]TABLO-1'!H4:H32873,"=Dağıtım-AG",'[7]TABLO-1'!J4:J32873,"=Dışsal",'[7]TABLO-1'!K4:K32873,"=Bildirimsiz",'[7]TABLO-1'!I4:I32873,"=Uzun",'[7]TABLO-1'!D4:D32873,"=BABAESKİ")/P7</f>
        <v>0</v>
      </c>
      <c r="H38" s="10">
        <f>SUMIFS('[7]TABLO-1'!R4:R32873,'[7]TABLO-1'!H4:H32873,"=Dağıtım-AG",'[7]TABLO-1'!J4:J32873,"=Dışsal",'[7]TABLO-1'!K4:K32873,"=Bildirimsiz",'[7]TABLO-1'!I4:I32873,"=Uzun",'[7]TABLO-1'!D4:D32873,"=BABAESKİ")/P13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SUMIFS('[7]TABLO-1'!S4:S32873,'[7]TABLO-1'!H4:H32873,"=Dağıtım-AG",'[7]TABLO-1'!J4:J32873,"=Dışsal",'[7]TABLO-1'!K4:K32873,"=Bildirimsiz",'[7]TABLO-1'!I4:I32873,"=Uzun",'[7]TABLO-1'!D4:D32873,"=BABAESKİ")/P8</f>
        <v>0</v>
      </c>
      <c r="K38" s="10">
        <f>SUMIFS('[7]TABLO-1'!T4:T32873,'[7]TABLO-1'!H4:H32873,"=Dağıtım-AG",'[7]TABLO-1'!J4:J32873,"=Dışsal",'[7]TABLO-1'!K4:K32873,"=bildirimsiz",'[7]TABLO-1'!I4:I32873,"=Uzun",'[7]TABLO-1'!D4:D32873,"=BABAESKİ")/P14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Sebep",'[7]TABLO-1'!K4:K32873,"=Bildirimsiz",'[7]TABLO-1'!I4:I32873,"=Uzun",'[7]TABLO-1'!D4:D32873,"=BABAESKİ")/P6</f>
        <v>0</v>
      </c>
      <c r="E39" s="10">
        <f>SUMIFS('[7]TABLO-1'!P4:P32873,'[7]TABLO-1'!H4:H32873,"=Dağıtım-AG",'[7]TABLO-1'!J4:J32873,"=Mücbir Sebep",'[7]TABLO-1'!K4:K32873,"=Bildirimsiz",'[7]TABLO-1'!I4:I32873,"=Uzun",'[7]TABLO-1'!D4:D32873,"=BABAESKİ")/P12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Sebep",'[7]TABLO-1'!K4:K32873,"=Bildirimsiz",'[7]TABLO-1'!I4:I32873,"=Uzun",'[7]TABLO-1'!D4:D32873,"=BABAESKİ")/P7</f>
        <v>0</v>
      </c>
      <c r="H39" s="10">
        <f>SUMIFS('[7]TABLO-1'!R4:R32873,'[7]TABLO-1'!H4:H32873,"=Dağıtım-AG",'[7]TABLO-1'!J4:J32873,"=Mücbir Sebep",'[7]TABLO-1'!K4:K32873,"=Bildirimsiz",'[7]TABLO-1'!I4:I32873,"=Uzun",'[7]TABLO-1'!D4:D32873,"=BABAESKİ")/P13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Sebep",'[7]TABLO-1'!K4:K32873,"=Bildirimsiz",'[7]TABLO-1'!I4:I32873,"=Uzun",'[7]TABLO-1'!D4:D32873,"=BABAESKİ")/P8</f>
        <v>0</v>
      </c>
      <c r="K39" s="10">
        <f>SUMIFS('[7]TABLO-1'!T4:T32873,'[7]TABLO-1'!H4:H32873,"=Dağıtım-AG",'[7]TABLO-1'!J4:J32873,"=Mücbir Sebep",'[7]TABLO-1'!K4:K32873,"=bildirimsiz",'[7]TABLO-1'!I4:I32873,"=Uzun",'[7]TABLO-1'!D4:D32873,"=BABAESKİ")/P14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SUMIFS('[7]TABLO-1'!O4:O32873,'[7]TABLO-1'!H4:H32873,"=Dağıtım-AG",'[7]TABLO-1'!J4:J32873,"=Güvenlik",'[7]TABLO-1'!K4:K32873,"=Bildirimsiz",'[7]TABLO-1'!I4:I32873,"=Uzun",'[7]TABLO-1'!D4:D32873,"=BABAESKİ")/P6</f>
        <v>0</v>
      </c>
      <c r="E40" s="10">
        <f>SUMIFS('[7]TABLO-1'!P4:P32873,'[7]TABLO-1'!H4:H32873,"=Dağıtım-AG",'[7]TABLO-1'!J4:J32873,"=Güvenlik",'[7]TABLO-1'!K4:K32873,"=Bildirimsiz",'[7]TABLO-1'!I4:I32873,"=Uzun",'[7]TABLO-1'!D4:D32873,"=BABAESKİ")/P12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SUMIFS('[7]TABLO-1'!Q4:Q32873,'[7]TABLO-1'!H4:H32873,"=Dağıtım-AG",'[7]TABLO-1'!J4:J32873,"=Güvenlik",'[7]TABLO-1'!K4:K32873,"=Bildirimsiz",'[7]TABLO-1'!I4:I32873,"=Uzun",'[7]TABLO-1'!D4:D32873,"=BABAESKİ")/P7</f>
        <v>0</v>
      </c>
      <c r="H40" s="10">
        <f>SUMIFS('[7]TABLO-1'!R4:R32873,'[7]TABLO-1'!H4:H32873,"=Dağıtım-AG",'[7]TABLO-1'!J4:J32873,"=Güvenlik",'[7]TABLO-1'!K4:K32873,"=Bildirimsiz",'[7]TABLO-1'!I4:I32873,"=Uzun",'[7]TABLO-1'!D4:D32873,"=BABAESKİ")/P13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SUMIFS('[7]TABLO-1'!S4:S32873,'[7]TABLO-1'!H4:H32873,"=Dağıtım-AG",'[7]TABLO-1'!J4:J32873,"=Güvenlik",'[7]TABLO-1'!K4:K32873,"=Bildirimsiz",'[7]TABLO-1'!I4:I32873,"=Uzun",'[7]TABLO-1'!D4:D32873,"=BABAESKİ")/P8</f>
        <v>0</v>
      </c>
      <c r="K40" s="10">
        <f>SUMIFS('[7]TABLO-1'!T4:T32873,'[7]TABLO-1'!H4:H32873,"=Dağıtım-AG",'[7]TABLO-1'!J4:J32873,"=Güvenlik",'[7]TABLO-1'!K4:K32873,"=bildirimsiz",'[7]TABLO-1'!I4:I32873,"=Uzun",'[7]TABLO-1'!D4:D32873,"=BABAESKİ")/P14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1.0634920634920635</v>
      </c>
      <c r="E41" s="10">
        <f t="shared" ref="E41:M41" si="14">SUM(E31:E40)</f>
        <v>1.0735895339329518</v>
      </c>
      <c r="F41" s="10">
        <f t="shared" si="14"/>
        <v>1.0735287087058374</v>
      </c>
      <c r="G41" s="10">
        <f t="shared" si="14"/>
        <v>2.3043478260869565</v>
      </c>
      <c r="H41" s="10">
        <f t="shared" si="14"/>
        <v>2.9577801380775361</v>
      </c>
      <c r="I41" s="10">
        <f t="shared" si="14"/>
        <v>2.9538136711533385</v>
      </c>
      <c r="J41" s="10">
        <f t="shared" si="14"/>
        <v>1.8510638297872339</v>
      </c>
      <c r="K41" s="10">
        <f t="shared" si="14"/>
        <v>1.9754682410423454</v>
      </c>
      <c r="L41" s="10">
        <f t="shared" si="14"/>
        <v>1.9737079779227296</v>
      </c>
      <c r="M41" s="10">
        <f t="shared" si="14"/>
        <v>1.537740474748349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İşletmecisi",'[7]TABLO-1'!K4:K32873,"=Bildirimli",'[7]TABLO-1'!I4:I32873,"=Uzun",'[7]TABLO-1'!D4:D32873,"=BABAESKİ")/P6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İşletmecisi",'[7]TABLO-1'!K4:K32873,"=Bildirimli",'[7]TABLO-1'!I4:I32873,"=Uzun",'[7]TABLO-1'!D4:D32873,"=BABAESKİ")/P12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İşletmecisi",'[7]TABLO-1'!K4:K32873,"=Bildirimli",'[7]TABLO-1'!I4:I32873,"=Uzun",'[7]TABLO-1'!D4:D32873,"=BABAESKİ")/P7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İşletmecisi",'[7]TABLO-1'!K4:K32873,"=Bildirimli",'[7]TABLO-1'!I4:I32873,"=Uzun",'[7]TABLO-1'!D4:D32873,"=BABAESKİ")/P13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İşletmecisi",'[7]TABLO-1'!K4:K32873,"=Bildirimli",'[7]TABLO-1'!I4:I32873,"=Uzun",'[7]TABLO-1'!D4:D32873,"=BABAESKİ")/P8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İşletmecisi",'[7]TABLO-1'!K4:K32873,"=bildirimli",'[7]TABLO-1'!I4:I32873,"=Uzun",'[7]TABLO-1'!D4:D32873,"=BABAESKİ")/P14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İşletmecisi",'[7]TABLO-1'!K4:K32873,"=Bildirimli",'[7]TABLO-1'!I4:I32873,"=Uzun",'[7]TABLO-1'!D4:D32873,"=BABAESKİ")/P6</f>
        <v>0.47619047619047616</v>
      </c>
      <c r="E47" s="10">
        <f>SUMIFS('[7]TABLO-1'!P4:P32873,'[7]TABLO-1'!H4:H32873,"=Dağıtım-OG",'[7]TABLO-1'!J4:J32873,"=Şebeke İşletmecisi",'[7]TABLO-1'!K4:K32873,"=Bildirimli",'[7]TABLO-1'!I4:I32873,"=Uzun",'[7]TABLO-1'!D4:D32873,"=BABAESKİ")/P12</f>
        <v>6.3104227790871048E-2</v>
      </c>
      <c r="F47" s="10">
        <f t="shared" ref="F47:F50" si="15">IFERROR((((D47*$P$6)+(E47*$P$12))/$P$17),"0,00")</f>
        <v>6.5592580197925132E-2</v>
      </c>
      <c r="G47" s="10">
        <f>SUMIFS('[7]TABLO-1'!Q4:Q32873,'[7]TABLO-1'!H4:H32873,"=Dağıtım-OG",'[7]TABLO-1'!J4:J32873,"=Şebeke İşletmecisi",'[7]TABLO-1'!K4:K32873,"=Bildirimli",'[7]TABLO-1'!I4:I32873,"=Uzun",'[7]TABLO-1'!D4:D32873,"=BABAESKİ")/P7</f>
        <v>1.3043478260869565</v>
      </c>
      <c r="H47" s="10">
        <f>SUMIFS('[7]TABLO-1'!R4:R32873,'[7]TABLO-1'!H4:H32873,"=Dağıtım-OG",'[7]TABLO-1'!J4:J32873,"=Şebeke İşletmecisi",'[7]TABLO-1'!K4:K32873,"=Bildirimli",'[7]TABLO-1'!I4:I32873,"=Uzun",'[7]TABLO-1'!D4:D32873,"=BABAESKİ")/P13</f>
        <v>1.4099840679766331</v>
      </c>
      <c r="I47" s="10">
        <f t="shared" ref="I47:I50" si="16">IFERROR((((G47*$P$7)+(H47*$P$13))/$P$20),"0,00")</f>
        <v>1.4093428345209817</v>
      </c>
      <c r="J47" s="10">
        <f>SUMIFS('[7]TABLO-1'!S4:S32873,'[7]TABLO-1'!H4:H32873,"=Dağıtım-OG",'[7]TABLO-1'!J4:J32873,"=Şebeke İşletmecisi",'[7]TABLO-1'!K4:K32873,"=Bildirimli",'[7]TABLO-1'!I4:I32873,"=Uzun",'[7]TABLO-1'!D4:D32873,"=BABAESKİ")/P8</f>
        <v>1.1702127659574468</v>
      </c>
      <c r="K47" s="10">
        <f>SUMIFS('[7]TABLO-1'!T4:T32873,'[7]TABLO-1'!H4:H32873,"=Dağıtım-OG",'[7]TABLO-1'!J4:J32873,"=Şebeke İşletmecisi",'[7]TABLO-1'!K4:K32873,"=bildirimli",'[7]TABLO-1'!I4:I32873,"=Uzun",'[7]TABLO-1'!D4:D32873,"=BABAESKİ")/P14</f>
        <v>1.2137622149837133</v>
      </c>
      <c r="L47" s="10">
        <f t="shared" ref="L47:L50" si="17">IFERROR((((J47*$P$8)+(K47*$P$14))/$P$23),"0,00")</f>
        <v>1.2131460110386352</v>
      </c>
      <c r="M47" s="11">
        <f t="shared" ref="M47:M50" si="18">IFERROR((((F47*$P$17)+(I47*$P$20)+(L47*$P$23))/$P$26),"0,00")</f>
        <v>0.54226875486718007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SUMIFS('[7]TABLO-1'!O4:O32873,'[7]TABLO-1'!H4:H32873,"=Dağıtım-OG",'[7]TABLO-1'!J4:J32873,"=Güvenlik",'[7]TABLO-1'!K4:K32873,"=Bildirimli",'[7]TABLO-1'!I4:I32873,"=Uzun",'[7]TABLO-1'!D4:D32873,"=BABAESKİ")/P6</f>
        <v>0</v>
      </c>
      <c r="E48" s="10">
        <f>SUMIFS('[7]TABLO-1'!P4:P32873,'[7]TABLO-1'!H4:H32873,"=Dağıtım-OG",'[7]TABLO-1'!J4:J32873,"=Güvenlik",'[7]TABLO-1'!K4:K32873,"=Bildirimli",'[7]TABLO-1'!I4:I32873,"=Uzun",'[7]TABLO-1'!D4:D32873,"=BABAESKİ")/P12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SUMIFS('[7]TABLO-1'!Q4:Q32873,'[7]TABLO-1'!H4:H32873,"=Dağıtım-OG",'[7]TABLO-1'!J4:J32873,"=Güvenlik",'[7]TABLO-1'!K4:K32873,"=Bildirimli",'[7]TABLO-1'!I4:I32873,"=Uzun",'[7]TABLO-1'!D4:D32873,"=BABAESKİ")/P7</f>
        <v>0</v>
      </c>
      <c r="H48" s="10">
        <f>SUMIFS('[7]TABLO-1'!R4:R32873,'[7]TABLO-1'!H4:H32873,"=Dağıtım-OG",'[7]TABLO-1'!J4:J32873,"=Güvenlik",'[7]TABLO-1'!K4:K32873,"=Bildirimli",'[7]TABLO-1'!I4:I32873,"=Uzun",'[7]TABLO-1'!D4:D32873,"=BABAESKİ")/P13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SUMIFS('[7]TABLO-1'!S4:S32873,'[7]TABLO-1'!H4:H32873,"=Dağıtım-OG",'[7]TABLO-1'!J4:J32873,"=Güvenlik",'[7]TABLO-1'!K4:K32873,"=Bildirimli",'[7]TABLO-1'!I4:I32873,"=Uzun",'[7]TABLO-1'!D4:D32873,"=BABAESKİ")/P8</f>
        <v>0</v>
      </c>
      <c r="K48" s="10">
        <f>SUMIFS('[7]TABLO-1'!T4:T32873,'[7]TABLO-1'!H4:H32873,"=Dağıtım-OG",'[7]TABLO-1'!J4:J32873,"=Güvenlik",'[7]TABLO-1'!K4:K32873,"=bildirimli",'[7]TABLO-1'!I4:I32873,"=Uzun",'[7]TABLO-1'!D4:D32873,"=BABAESKİ")/P14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İşletmecisi",'[7]TABLO-1'!K4:K32873,"=Bildirimli",'[7]TABLO-1'!I4:I32873,"=Uzun",'[7]TABLO-1'!D4:D32873,"=BABAESKİ")/P6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İşletmecisi",'[7]TABLO-1'!K4:K32873,"=Bildirimli",'[7]TABLO-1'!I4:I32873,"=Uzun",'[7]TABLO-1'!D4:D32873,"=BABAESKİ")/P12</f>
        <v>9.6195469193400993E-5</v>
      </c>
      <c r="F49" s="10">
        <f t="shared" si="15"/>
        <v>9.5616006119424385E-5</v>
      </c>
      <c r="G49" s="12">
        <f>SUMIFS('[7]TABLO-1'!Q4:Q32873,'[7]TABLO-1'!H4:H32873,"=Dağıtım-AG",'[7]TABLO-1'!J4:J32873,"=Şebeke İşletmecisi",'[7]TABLO-1'!K4:K32873,"=Bildirimli",'[7]TABLO-1'!I4:I32873,"=Uzun",'[7]TABLO-1'!D4:D32873,"=BABAESKİ")/P7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İşletmecisi",'[7]TABLO-1'!K4:K32873,"=Bildirimli",'[7]TABLO-1'!I4:I32873,"=Uzun",'[7]TABLO-1'!D4:D32873,"=BABAESKİ")/P13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İşletmecisi",'[7]TABLO-1'!K4:K32873,"=Bildirimli",'[7]TABLO-1'!I4:I32873,"=Uzun",'[7]TABLO-1'!D4:D32873,"=BABAESKİ")/P8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İşletmecisi",'[7]TABLO-1'!K4:K32873,"=bildirimli",'[7]TABLO-1'!I4:I32873,"=Uzun",'[7]TABLO-1'!D4:D32873,"=BABAESKİ")/P14</f>
        <v>0.11054560260586319</v>
      </c>
      <c r="L49" s="10">
        <f t="shared" si="17"/>
        <v>0.10898143502257902</v>
      </c>
      <c r="M49" s="11">
        <f t="shared" si="18"/>
        <v>3.1380692798015634E-2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SUMIFS('[7]TABLO-1'!O4:O32873,'[7]TABLO-1'!H4:H32873,"=Dağıtım-AG",'[7]TABLO-1'!J4:J32873,"=Güvenlik",'[7]TABLO-1'!K4:K32873,"=Bildirimli",'[7]TABLO-1'!I4:I32873,"=Uzun",'[7]TABLO-1'!D4:D32873,"=BABAESKİ")/P6</f>
        <v>0</v>
      </c>
      <c r="E50" s="10">
        <f>SUMIFS('[7]TABLO-1'!P4:P32873,'[7]TABLO-1'!H4:H32873,"=Dağıtım-AG",'[7]TABLO-1'!J4:J32873,"=Güvenlik",'[7]TABLO-1'!K4:K32873,"=Bildirimli",'[7]TABLO-1'!I4:I32873,"=Uzun",'[7]TABLO-1'!D4:D32873,"=BABAESKİ")/P12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SUMIFS('[7]TABLO-1'!Q4:Q32873,'[7]TABLO-1'!H4:H32873,"=Dağıtım-AG",'[7]TABLO-1'!J4:J32873,"=Güvenlik",'[7]TABLO-1'!K4:K32873,"=Bildirimli",'[7]TABLO-1'!I4:I32873,"=Uzun",'[7]TABLO-1'!D4:D32873,"=BABAESKİ")/P7</f>
        <v>0</v>
      </c>
      <c r="H50" s="10">
        <f>SUMIFS('[7]TABLO-1'!R4:R32873,'[7]TABLO-1'!H4:H32873,"=Dağıtım-AG",'[7]TABLO-1'!J4:J32873,"=Güvenlik",'[7]TABLO-1'!K4:K32873,"=Bildirimli",'[7]TABLO-1'!I4:I32873,"=Uzun",'[7]TABLO-1'!D4:D32873,"=BABAESKİ")/P13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SUMIFS('[7]TABLO-1'!S4:S32873,'[7]TABLO-1'!H4:H32873,"=Dağıtım-AG",'[7]TABLO-1'!J4:J32873,"=Güvenlik",'[7]TABLO-1'!K4:K32873,"=Bildirimli",'[7]TABLO-1'!I4:I32873,"=Uzun",'[7]TABLO-1'!D4:D32873,"=BABAESKİ")/P8</f>
        <v>0</v>
      </c>
      <c r="K50" s="10">
        <f>SUMIFS('[7]TABLO-1'!T4:T32873,'[7]TABLO-1'!H4:H32873,"=Dağıtım-AG",'[7]TABLO-1'!J4:J32873,"=Güvenlik",'[7]TABLO-1'!K4:K32873,"=bildirimli",'[7]TABLO-1'!I4:I32873,"=Uzun",'[7]TABLO-1'!D4:D32873,"=BABAESKİ")/P14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0.47619047619047616</v>
      </c>
      <c r="E51" s="10">
        <f t="shared" ref="E51:M51" si="19">SUM(E46:E50)</f>
        <v>6.3200423260064448E-2</v>
      </c>
      <c r="F51" s="10">
        <f t="shared" si="19"/>
        <v>6.5688196204044563E-2</v>
      </c>
      <c r="G51" s="10">
        <f t="shared" si="19"/>
        <v>1.3043478260869565</v>
      </c>
      <c r="H51" s="10">
        <f t="shared" si="19"/>
        <v>1.4099840679766331</v>
      </c>
      <c r="I51" s="10">
        <f t="shared" si="19"/>
        <v>1.4093428345209817</v>
      </c>
      <c r="J51" s="10">
        <f t="shared" si="19"/>
        <v>1.1702127659574468</v>
      </c>
      <c r="K51" s="10">
        <f t="shared" si="19"/>
        <v>1.3243078175895764</v>
      </c>
      <c r="L51" s="10">
        <f t="shared" si="19"/>
        <v>1.3221274460612142</v>
      </c>
      <c r="M51" s="10">
        <f t="shared" si="19"/>
        <v>0.57364944766519566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SUMIFS('[7]TABLO-1'!O1:O32873,'[7]TABLO-1'!H1:H32873,"=İletim",'[7]TABLO-1'!K1:K32873,"=Bildirimsiz",'[7]TABLO-1'!I1:I32873,"=Kısa",'[7]TABLO-1'!D1:D32873,"=BABAESKİ")/P6</f>
        <v>0</v>
      </c>
      <c r="D56" s="10">
        <f>SUMIFS('[7]TABLO-1'!P1:P32873,'[7]TABLO-1'!H1:H32873,"=İletim",'[7]TABLO-1'!K1:K32873,"=Bildirimsiz",'[7]TABLO-1'!I1:I32873,"=Kısa",'[7]TABLO-1'!D1:D32873,"=BABAESKİ")/P12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SUMIFS('[7]TABLO-1'!Q1:Q32873,'[7]TABLO-1'!H1:H32873,"=İletim",'[7]TABLO-1'!K1:K32873,"=Bildirimsiz",'[7]TABLO-1'!I1:I32873,"=Kısa",'[7]TABLO-1'!D1:D32873,"=BABAESKİ")/P7</f>
        <v>0</v>
      </c>
      <c r="G56" s="10">
        <f>SUMIFS('[7]TABLO-1'!R1:R32873,'[7]TABLO-1'!H1:H32873,"=İletim",'[7]TABLO-1'!K1:K32873,"=Bildirimsiz",'[7]TABLO-1'!I1:I32873,"=Kısa",'[7]TABLO-1'!D1:D32873,"=BABAESKİ")/P13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SUMIFS('[7]TABLO-1'!S1:S32873,'[7]TABLO-1'!H1:H32873,"=İletim",'[7]TABLO-1'!K1:K32873,"=Bildirimsiz",'[7]TABLO-1'!I1:I32873,"=Kısa",'[7]TABLO-1'!D1:D32873,"=BABAESKİ")/P8</f>
        <v>0</v>
      </c>
      <c r="J56" s="10">
        <f>SUMIFS('[7]TABLO-1'!T1:T32873,'[7]TABLO-1'!H1:H32873,"=İletim",'[7]TABLO-1'!K1:K32873,"=Bildirimsiz",'[7]TABLO-1'!I1:I32873,"=Kısa",'[7]TABLO-1'!D1:D32873,"=BABAESKİ")/P14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SUMIFS('[7]TABLO-1'!O4:O32873,'[7]TABLO-1'!H4:H32873,"=Dağıtım-OG",'[7]TABLO-1'!K4:K32873,"=Bildirimsiz",'[7]TABLO-1'!I4:I32873,"=Kısa",'[7]TABLO-1'!D4:D32873,"=BABAESKİ")/P6</f>
        <v>0</v>
      </c>
      <c r="D57" s="10">
        <f>SUMIFS('[7]TABLO-1'!P4:P32873,'[7]TABLO-1'!H4:H32873,"=Dağıtım-OG",'[7]TABLO-1'!K4:K32873,"=Bildirimsiz",'[7]TABLO-1'!I4:I32873,"=Kısa",'[7]TABLO-1'!D4:D32873,"=BABAESKİ")/P12</f>
        <v>0</v>
      </c>
      <c r="E57" s="10">
        <f>IFERROR((((C57*$P$6)+(D57*$P$12))/$P$17),"0,00")</f>
        <v>0</v>
      </c>
      <c r="F57" s="10">
        <f>SUMIFS('[7]TABLO-1'!Q4:Q32873,'[7]TABLO-1'!H4:H32873,"=Dağıtım-OG",'[7]TABLO-1'!K4:K32873,"=Bildirimsiz",'[7]TABLO-1'!I4:I32873,"=Kısa",'[7]TABLO-1'!D4:D32873,"=BABAESKİ")/P7</f>
        <v>0</v>
      </c>
      <c r="G57" s="10">
        <f>SUMIFS('[7]TABLO-1'!R4:R32873,'[7]TABLO-1'!H4:H32873,"=Dağıtım-OG",'[7]TABLO-1'!K4:K32873,"=Bildirimsiz",'[7]TABLO-1'!I4:I32873,"=Kısa",'[7]TABLO-1'!D4:D32873,"=BABAESKİ")/P13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SUMIFS('[7]TABLO-1'!S4:S32873,'[7]TABLO-1'!H4:H32873,"=Dağıtım-OG",'[7]TABLO-1'!K4:K32873,"=Bildirimsiz",'[7]TABLO-1'!I4:I32873,"=Kısa",'[7]TABLO-1'!D4:D32873,"=BABAESKİ")/P8</f>
        <v>4.2553191489361701E-2</v>
      </c>
      <c r="J57" s="10">
        <f>SUMIFS('[7]TABLO-1'!T4:T32873,'[7]TABLO-1'!H4:H32873,"=Dağıtım-OG",'[7]TABLO-1'!K4:K32873,"=Bildirimsiz",'[7]TABLO-1'!I4:I32873,"=Kısa",'[7]TABLO-1'!D4:D32873,"=BABAESKİ")/P14</f>
        <v>7.5122149837133556E-2</v>
      </c>
      <c r="K57" s="10">
        <f>IFERROR((((I57*$P$8)+(J57*$P$14))/$P$23),"0,00")</f>
        <v>7.4661314601103868E-2</v>
      </c>
      <c r="L57" s="11">
        <f>IFERROR((((E57*$P$17)+(H57*$P$20)+(K57*$P$23))/$P$26),"0,00")</f>
        <v>2.1458856104525397E-2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SUMIFS('[7]TABLO-1'!O4:O32873,'[7]TABLO-1'!H4:H32873,"=Dağıtım-AG",'[7]TABLO-1'!K4:K32873,"=Bildirimsiz",'[7]TABLO-1'!I4:I32873,"=Kısa",'[7]TABLO-1'!D4:D32873,"=BABAESKİ")/P6</f>
        <v>0</v>
      </c>
      <c r="D58" s="10">
        <f>SUMIFS('[7]TABLO-1'!P4:P32873,'[7]TABLO-1'!H4:H32873,"=Dağıtım-AG",'[7]TABLO-1'!K4:K32873,"=Bildirimsiz",'[7]TABLO-1'!I4:I32873,"=Kısa",'[7]TABLO-1'!D4:D32873,"=BABAESKİ")/P12</f>
        <v>4.7135779904766487E-3</v>
      </c>
      <c r="E58" s="10">
        <f>IFERROR((((C58*$P$6)+(D58*$P$12))/$P$17),"0,00")</f>
        <v>4.6851842998517955E-3</v>
      </c>
      <c r="F58" s="10">
        <f>SUMIFS('[7]TABLO-1'!Q4:Q32873,'[7]TABLO-1'!H4:H32873,"=Dağıtım-AG",'[7]TABLO-1'!K4:K32873,"=Bildirimsiz",'[7]TABLO-1'!I4:I32873,"=Kısa",'[7]TABLO-1'!D4:D32873,"=BABAESKİ")/P7</f>
        <v>0</v>
      </c>
      <c r="G58" s="10">
        <f>SUMIFS('[7]TABLO-1'!R4:R32873,'[7]TABLO-1'!H4:H32873,"=Dağıtım-AG",'[7]TABLO-1'!K4:K32873,"=Bildirimsiz",'[7]TABLO-1'!I4:I32873,"=Kısa",'[7]TABLO-1'!D4:D32873,"=BABAESKİ")/P13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SUMIFS('[7]TABLO-1'!S4:S32873,'[7]TABLO-1'!H4:H32873,"=Dağıtım-AG",'[7]TABLO-1'!K4:K32873,"=Bildirimsiz",'[7]TABLO-1'!I4:I32873,"=Kısa",'[7]TABLO-1'!D4:D32873,"=BABAESKİ")/P8</f>
        <v>0</v>
      </c>
      <c r="J58" s="10">
        <f>SUMIFS('[7]TABLO-1'!T4:T32873,'[7]TABLO-1'!H4:H32873,"=Dağıtım-AG",'[7]TABLO-1'!K4:K32873,"=Bildirimsiz",'[7]TABLO-1'!I4:I32873,"=Kısa",'[7]TABLO-1'!D4:D32873,"=BABAESKİ")/P14</f>
        <v>2.5040716612377851E-2</v>
      </c>
      <c r="K58" s="10">
        <f>IFERROR((((I58*$P$8)+(J58*$P$14))/$P$23),"0,00")</f>
        <v>2.4686402408429502E-2</v>
      </c>
      <c r="L58" s="11">
        <f>IFERROR((((E58*$P$17)+(H58*$P$20)+(K58*$P$23))/$P$26),"0,00")</f>
        <v>9.9218366934902373E-3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4.7135779904766487E-3</v>
      </c>
      <c r="E59" s="10">
        <f t="shared" si="20"/>
        <v>4.6851842998517955E-3</v>
      </c>
      <c r="F59" s="10">
        <f t="shared" si="20"/>
        <v>0</v>
      </c>
      <c r="G59" s="10">
        <f t="shared" si="20"/>
        <v>0</v>
      </c>
      <c r="H59" s="10">
        <f t="shared" si="20"/>
        <v>0</v>
      </c>
      <c r="I59" s="10">
        <f t="shared" si="20"/>
        <v>4.2553191489361701E-2</v>
      </c>
      <c r="J59" s="10">
        <f t="shared" si="20"/>
        <v>0.1001628664495114</v>
      </c>
      <c r="K59" s="10">
        <f t="shared" si="20"/>
        <v>9.9347717009533376E-2</v>
      </c>
      <c r="L59" s="10">
        <f t="shared" si="20"/>
        <v>3.1380692798015634E-2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126</v>
      </c>
      <c r="D65" s="27">
        <f>P12</f>
        <v>20791</v>
      </c>
      <c r="E65" s="27">
        <f>C65+D65</f>
        <v>20917</v>
      </c>
      <c r="F65" s="17">
        <f>P7</f>
        <v>23</v>
      </c>
      <c r="G65" s="27">
        <f>P13</f>
        <v>3766</v>
      </c>
      <c r="H65" s="17">
        <f>SUM(F65:G65)</f>
        <v>3789</v>
      </c>
      <c r="I65" s="17">
        <f>P8</f>
        <v>141</v>
      </c>
      <c r="J65" s="27">
        <f>P14</f>
        <v>9824</v>
      </c>
      <c r="K65" s="17">
        <f>SUM(I65:J65)</f>
        <v>9965</v>
      </c>
      <c r="L65" s="17">
        <f>H65+E65+K65</f>
        <v>34671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İşletmecisi",'[7]TABLO-1'!K4:K32873,"=Bildirimsiz",'[7]TABLO-1'!I4:I32873,"=Uzun",'[7]TABLO-1'!D4:D32873,"=PEHLİVANKÖY")/P6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İşletmecisi",'[7]TABLO-1'!K4:K32873,"=Bildirimsiz",'[7]TABLO-1'!I4:I32873,"=Uzun",'[7]TABLO-1'!D4:D32873,"=PEHLİVANKÖY")/P12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İşletmecisi",'[7]TABLO-1'!K4:K32873,"=Bildirimsiz",'[7]TABLO-1'!I4:I32873,"=Uzun",'[7]TABLO-1'!D4:D32873,"=PEHLİVANKÖY")/P7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İşletmecisi",'[7]TABLO-1'!K4:K32873,"=Bildirimsiz",'[7]TABLO-1'!I4:I32873,"=Uzun",'[7]TABLO-1'!D4:D32873,"=PEHLİVANKÖY")/P13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İşletmecisi",'[7]TABLO-1'!K4:K32873,"=Bildirimsiz",'[7]TABLO-1'!I4:I32873,"=Uzun",'[7]TABLO-1'!D4:D32873,"=PEHLİVANKÖY")/P8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İşletmecisi",'[7]TABLO-1'!K4:K32873,"=Bildirimsiz",'[7]TABLO-1'!I4:I32873,"=Uzun",'[7]TABLO-1'!D4:D32873,"=PEHLİVANKÖY")/P14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Sebep",'[7]TABLO-1'!K4:K32873,"=Bildirimsiz",'[7]TABLO-1'!I4:I32873,"=Uzun",'[7]TABLO-1'!D4:D32873,"=PEHLİVANKÖY")/P6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Sebep",'[7]TABLO-1'!K4:K32873,"=Bildirimsiz",'[7]TABLO-1'!I4:I32873,"=Uzun",'[7]TABLO-1'!D4:D32873,"=PEHLİVANKÖY")/P12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Sebep",'[7]TABLO-1'!K4:K32873,"=Bildirimsiz",'[7]TABLO-1'!I4:I32873,"=Uzun",'[7]TABLO-1'!D4:D32873,"=PEHLİVANKÖY")/P7</f>
        <v>0</v>
      </c>
      <c r="H7" s="10">
        <f>SUMIFS('[7]TABLO-1'!X4:X32873,'[7]TABLO-1'!H4:H32873,"=İletim",'[7]TABLO-1'!J4:J32873,"=Mücbir Sebep",'[7]TABLO-1'!K4:K32873,"=Bildirimsiz",'[7]TABLO-1'!I4:I32873,"=Uzun",'[7]TABLO-1'!D4:D32873,"=PEHLİVANKÖY")/P13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Sebep",'[7]TABLO-1'!K4:K32873,"=Bildirimsiz",'[7]TABLO-1'!I4:I32873,"=Uzun",'[7]TABLO-1'!D4:D32873,"=PEHLİVANKÖY")/P8</f>
        <v>0</v>
      </c>
      <c r="K7" s="10">
        <f>SUMIFS('[7]TABLO-1'!Z4:Z32873,'[7]TABLO-1'!H4:H32873,"=İletim",'[7]TABLO-1'!J4:J32873,"=Mücbir Sebep",'[7]TABLO-1'!K4:K32873,"=Bildirimsiz",'[7]TABLO-1'!I4:I32873,"=Uzun",'[7]TABLO-1'!D4:D32873,"=PEHLİVANKÖY")/P14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6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İşletmecisi",'[7]TABLO-1'!K4:K32873,"=Bildirimsiz",'[7]TABLO-1'!I4:I32873,"=Uzun",'[7]TABLO-1'!D4:D32873,"=PEHLİVANKÖY")/P6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İşletmecisi",'[7]TABLO-1'!K4:K32873,"=Bildirimsiz",'[7]TABLO-1'!I4:I32873,"=Uzun",'[7]TABLO-1'!D4:D32873,"=PEHLİVANKÖY")/P12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İşletmecisi",'[7]TABLO-1'!K4:K32873,"=Bildirimsiz",'[7]TABLO-1'!I4:I32873,"=Uzun",'[7]TABLO-1'!D4:D32873,"=PEHLİVANKÖY")/P7</f>
        <v>23.272222224622965</v>
      </c>
      <c r="H8" s="10">
        <f>SUMIFS('[7]TABLO-1'!X4:X32873,'[7]TABLO-1'!H4:H32873,"=Dağıtım-OG",'[7]TABLO-1'!J4:J32873,"=Şebeke İşletmecisi",'[7]TABLO-1'!K4:K32873,"=Bildirimsiz",'[7]TABLO-1'!I4:I32873,"=Uzun",'[7]TABLO-1'!D4:D32873,"=PEHLİVANKÖY")/P13</f>
        <v>56.590569400536374</v>
      </c>
      <c r="I8" s="10">
        <f t="shared" si="1"/>
        <v>56.472419233245901</v>
      </c>
      <c r="J8" s="10">
        <f>SUMIFS('[7]TABLO-1'!Y4:Y32873,'[7]TABLO-1'!H4:H32873,"=Dağıtım-OG",'[7]TABLO-1'!J4:J32873,"=Şebeke İşletmecisi",'[7]TABLO-1'!K4:K32873,"=Bildirimsiz",'[7]TABLO-1'!I4:I32873,"=Uzun",'[7]TABLO-1'!D4:D32873,"=PEHLİVANKÖY")/P8</f>
        <v>49.708333335671341</v>
      </c>
      <c r="K8" s="10">
        <f>SUMIFS('[7]TABLO-1'!Z4:Z32873,'[7]TABLO-1'!H4:H32873,"=Dağıtım-OG",'[7]TABLO-1'!J4:J32873,"=Şebeke İşletmecisi",'[7]TABLO-1'!K4:K32873,"=Bildirimsiz",'[7]TABLO-1'!I4:I32873,"=Uzun",'[7]TABLO-1'!D4:D32873,"=PEHLİVANKÖY")/P14</f>
        <v>99.386883347524403</v>
      </c>
      <c r="L8" s="10">
        <f t="shared" si="2"/>
        <v>98.259746648446622</v>
      </c>
      <c r="M8" s="11">
        <f t="shared" si="3"/>
        <v>77.795446218194925</v>
      </c>
      <c r="O8" s="20" t="s">
        <v>36</v>
      </c>
      <c r="P8" s="53">
        <v>40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SUMIFS('[7]TABLO-1'!U4:U32873,'[7]TABLO-1'!H4:H32873,"=Dağıtım-OG",'[7]TABLO-1'!J4:J32873,"=Dışsal",'[7]TABLO-1'!K4:K32873,"=Bildirimsiz",'[7]TABLO-1'!I4:I32873,"=Uzun",'[7]TABLO-1'!D4:D32873,"=PEHLİVANKÖY")/P6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SUMIFS('[7]TABLO-1'!V4:V32873,'[7]TABLO-1'!H4:H32873,"=Dağıtım-OG",'[7]TABLO-1'!J4:J32873,"=Dışsal",'[7]TABLO-1'!K4:K32873,"=Bildirimsiz",'[7]TABLO-1'!I4:I32873,"=Uzun",'[7]TABLO-1'!D4:D32873,"=PEHLİVANKÖY")/P12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SUMIFS('[7]TABLO-1'!W4:W32873,'[7]TABLO-1'!H4:H32873,"=Dağıtım-OG",'[7]TABLO-1'!J4:J32873,"=Dışsal",'[7]TABLO-1'!K4:K32873,"=Bildirimsiz",'[7]TABLO-1'!I4:I32873,"=Uzun",'[7]TABLO-1'!D4:D32873,"=PEHLİVANKÖY")/P7</f>
        <v>0</v>
      </c>
      <c r="H9" s="10">
        <f>SUMIFS('[7]TABLO-1'!X4:X32873,'[7]TABLO-1'!H4:H32873,"=Dağıtım-OG",'[7]TABLO-1'!J4:J32873,"=Dışsal",'[7]TABLO-1'!K4:K32873,"=Bildirimsiz",'[7]TABLO-1'!I4:I32873,"=Uzun",'[7]TABLO-1'!D4:D32873,"=PEHLİVANKÖY")/P13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SUMIFS('[7]TABLO-1'!Y4:Y32873,'[7]TABLO-1'!H4:H32873,"=Dağıtım-OG",'[7]TABLO-1'!J4:J32873,"=Dışsal",'[7]TABLO-1'!K4:K32873,"=Bildirimsiz",'[7]TABLO-1'!I4:I32873,"=Uzun",'[7]TABLO-1'!D4:D32873,"=PEHLİVANKÖY")/P8</f>
        <v>0</v>
      </c>
      <c r="K9" s="10">
        <f>SUMIFS('[7]TABLO-1'!Z4:Z32873,'[7]TABLO-1'!H4:H32873,"=Dağıtım-OG",'[7]TABLO-1'!J4:J32873,"=Dışsal",'[7]TABLO-1'!K4:K32873,"=Bildirimsiz",'[7]TABLO-1'!I4:I32873,"=Uzun",'[7]TABLO-1'!D4:D32873,"=PEHLİVANKÖY")/P14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46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Sebep",'[7]TABLO-1'!K4:K32873,"=Bildirimsiz",'[7]TABLO-1'!I4:I32873,"=Uzun",'[7]TABLO-1'!D4:D32873,"=PEHLİVANKÖY")/P6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Sebep",'[7]TABLO-1'!K4:K32873,"=Bildirimsiz",'[7]TABLO-1'!I4:I32873,"=Uzun",'[7]TABLO-1'!D4:D32873,"=PEHLİVANKÖY")/P12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Sebep",'[7]TABLO-1'!K4:K32873,"=Bildirimsiz",'[7]TABLO-1'!I4:I32873,"=Uzun",'[7]TABLO-1'!D4:D32873,"=PEHLİVANKÖY")/P7</f>
        <v>0</v>
      </c>
      <c r="H10" s="10">
        <f>SUMIFS('[7]TABLO-1'!X4:X32873,'[7]TABLO-1'!H4:H32873,"=Dağıtım-OG",'[7]TABLO-1'!J4:J32873,"=Mücbir Sebep",'[7]TABLO-1'!K4:K32873,"=Bildirimsiz",'[7]TABLO-1'!I4:I32873,"=Uzun",'[7]TABLO-1'!D4:D32873,"=PEHLİVANKÖY")/P13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Sebep",'[7]TABLO-1'!K4:K32873,"=Bildirimsiz",'[7]TABLO-1'!I4:I32873,"=Uzun",'[7]TABLO-1'!D4:D32873,"=PEHLİVANKÖY")/P8</f>
        <v>0</v>
      </c>
      <c r="K10" s="10">
        <f>SUMIFS('[7]TABLO-1'!Z4:Z32873,'[7]TABLO-1'!H4:H32873,"=Dağıtım-OG",'[7]TABLO-1'!J4:J32873,"=Mücbir Sebep",'[7]TABLO-1'!K4:K32873,"=Bildirimsiz",'[7]TABLO-1'!I4:I32873,"=Uzun",'[7]TABLO-1'!D4:D32873,"=PEHLİVANKÖY")/P14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SUMIFS('[7]TABLO-1'!U4:U32873,'[7]TABLO-1'!H4:H32873,"=Dağıtım-OG",'[7]TABLO-1'!J4:J32873,"=Güvenlik",'[7]TABLO-1'!K4:K32873,"=Bildirimsiz",'[7]TABLO-1'!I4:I32873,"=Uzun",'[7]TABLO-1'!D4:D32873,"=PEHLİVANKÖY")/P6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SUMIFS('[7]TABLO-1'!V4:V32873,'[7]TABLO-1'!H4:H32873,"=Dağıtım-OG",'[7]TABLO-1'!J4:J32873,"=Güvenlik",'[7]TABLO-1'!K4:K32873,"=Bildirimsiz",'[7]TABLO-1'!I4:I32873,"=Uzun",'[7]TABLO-1'!D4:D32873,"=PEHLİVANKÖY")/P12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SUMIFS('[7]TABLO-1'!W4:W32873,'[7]TABLO-1'!H4:H32873,"=Dağıtım-OG",'[7]TABLO-1'!J4:J32873,"=Güvenlik",'[7]TABLO-1'!K4:K32873,"=Bildirimsiz",'[7]TABLO-1'!I4:I32873,"=Uzun",'[7]TABLO-1'!D4:D32873,"=PEHLİVANKÖY")/P7</f>
        <v>0</v>
      </c>
      <c r="H11" s="10">
        <f>SUMIFS('[7]TABLO-1'!X4:X32873,'[7]TABLO-1'!H4:H32873,"=Dağıtım-OG",'[7]TABLO-1'!J4:J32873,"=Güvenlik",'[7]TABLO-1'!K4:K32873,"=Bildirimsiz",'[7]TABLO-1'!I4:I32873,"=Uzun",'[7]TABLO-1'!D4:D32873,"=PEHLİVANKÖY")/P13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SUMIFS('[7]TABLO-1'!Y4:Y32873,'[7]TABLO-1'!H4:H32873,"=Dağıtım-OG",'[7]TABLO-1'!J4:J32873,"=Güvenlik",'[7]TABLO-1'!K4:K32873,"=Bildirimsiz",'[7]TABLO-1'!I4:I32873,"=Uzun",'[7]TABLO-1'!D4:D32873,"=PEHLİVANKÖY")/P8</f>
        <v>0</v>
      </c>
      <c r="K11" s="10">
        <f>SUMIFS('[7]TABLO-1'!Z4:Z32873,'[7]TABLO-1'!H4:H32873,"=Dağıtım-OG",'[7]TABLO-1'!J4:J32873,"=Güvenlik",'[7]TABLO-1'!K4:K32873,"=Bildirimsiz",'[7]TABLO-1'!I4:I32873,"=Uzun",'[7]TABLO-1'!D4:D32873,"=PEHLİVANKÖY")/P14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İşletmecisi",'[7]TABLO-1'!K4:K32873,"=Bildirimsiz",'[7]TABLO-1'!I4:I32873,"=Uzun",'[7]TABLO-1'!D4:D32873,"=PEHLİVANKÖY")/P6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işletmecisi",'[7]TABLO-1'!K4:K32873,"=Bildirimsiz",'[7]TABLO-1'!I4:I32873,"=Uzun",'[7]TABLO-1'!D4:D32873,"=PEHLİVANKÖY")/P12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İşletmecisi",'[7]TABLO-1'!K4:K32873,"=Bildirimsiz",'[7]TABLO-1'!I4:I32873,"=Uzun",'[7]TABLO-1'!D4:D32873,"=PEHLİVANKÖY")/P7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İşletmecisi",'[7]TABLO-1'!K4:K32873,"=Bildirimsiz",'[7]TABLO-1'!I4:I32873,"=Uzun",'[7]TABLO-1'!D4:D32873,"=PEHLİVANKÖY")/P13</f>
        <v>0.77909252670754303</v>
      </c>
      <c r="I12" s="10">
        <f t="shared" si="1"/>
        <v>0.77632978725113333</v>
      </c>
      <c r="J12" s="12">
        <f>SUMIFS('[7]TABLO-1'!Y4:Y32873,'[7]TABLO-1'!H4:H32873,"=Dağıtım-AG",'[7]TABLO-1'!J4:J32873,"=Şebeke İşletmecisi",'[7]TABLO-1'!K4:K32873,"=Bildirimsiz",'[7]TABLO-1'!I4:I32873,"=Uzun",'[7]TABLO-1'!D4:D32873,"=PEHLİVANKÖY")/P8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İşletmecisi",'[7]TABLO-1'!K4:K32873,"=Bildirimsiz",'[7]TABLO-1'!I4:I32873,"=Uzun",'[7]TABLO-1'!D4:D32873,"=PEHLİVANKÖY")/P14</f>
        <v>18.555620042986906</v>
      </c>
      <c r="L12" s="10">
        <f t="shared" si="2"/>
        <v>18.134619021024641</v>
      </c>
      <c r="M12" s="11">
        <f t="shared" si="3"/>
        <v>9.6338301980015508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SUMIFS('[7]TABLO-1'!U4:U32873,'[7]TABLO-1'!H4:H32873,"=Dağıtım-AG",'[7]TABLO-1'!J4:J32873,"=Dışsal",'[7]TABLO-1'!K4:K32873,"=Bildirimsiz",'[7]TABLO-1'!I4:I32873,"=Uzun",'[7]TABLO-1'!D4:D32873,"=PEHLİVANKÖY")/P6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SUMIFS('[7]TABLO-1'!V4:V32873,'[7]TABLO-1'!H4:H32873,"=Dağıtım-AG",'[7]TABLO-1'!J4:J32873,"=Dışsal",'[7]TABLO-1'!K4:K32873,"=Bildirimsiz",'[7]TABLO-1'!I4:I32873,"=Uzun",'[7]TABLO-1'!D4:D32873,"=PEHLİVANKÖY")/P12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SUMIFS('[7]TABLO-1'!W4:W32873,'[7]TABLO-1'!H4:H32873,"=Dağıtım-AG",'[7]TABLO-1'!J4:J32873,"=Dışsal",'[7]TABLO-1'!K4:K32873,"=Bildirimsiz",'[7]TABLO-1'!I4:I32873,"=Uzun",'[7]TABLO-1'!D4:D32873,"=PEHLİVANKÖY")/P7</f>
        <v>0</v>
      </c>
      <c r="H13" s="10">
        <f>SUMIFS('[7]TABLO-1'!X4:X32873,'[7]TABLO-1'!H4:H32873,"=Dağıtım-AG",'[7]TABLO-1'!J4:J32873,"=Dışsal",'[7]TABLO-1'!K4:K32873,"=Bildirimsiz",'[7]TABLO-1'!I4:I32873,"=Uzun",'[7]TABLO-1'!D4:D32873,"=PEHLİVANKÖY")/P13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SUMIFS('[7]TABLO-1'!Y4:Y32873,'[7]TABLO-1'!H4:H32873,"=Dağıtım-AG",'[7]TABLO-1'!J4:J32873,"=Dışsal",'[7]TABLO-1'!K4:K32873,"=Bildirimsiz",'[7]TABLO-1'!I4:I32873,"=Uzun",'[7]TABLO-1'!D4:D32873,"=PEHLİVANKÖY")/P8</f>
        <v>0</v>
      </c>
      <c r="K13" s="10">
        <f>SUMIFS('[7]TABLO-1'!Z4:Z32873,'[7]TABLO-1'!H4:H32873,"=Dağıtım-AG",'[7]TABLO-1'!J4:J32873,"=Dışsal",'[7]TABLO-1'!K4:K32873,"=Bildirimsiz",'[7]TABLO-1'!I4:I32873,"=Uzun",'[7]TABLO-1'!D4:D32873,"=PEHLİVANKÖY")/P14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1686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Sebep",'[7]TABLO-1'!K4:K32873,"=Bildirimsiz",'[7]TABLO-1'!I4:I32873,"=Uzun",'[7]TABLO-1'!D4:D32873,"=PEHLİVANKÖY")/P6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Sebep",'[7]TABLO-1'!K4:K32873,"=Bildirimsiz",'[7]TABLO-1'!I4:I32873,"=Uzun",'[7]TABLO-1'!D4:D32873,"=PEHLİVANKÖY")/P12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Sebep",'[7]TABLO-1'!K4:K32873,"=Bildirimsiz",'[7]TABLO-1'!I4:I32873,"=Uzun",'[7]TABLO-1'!D4:D32873,"=PEHLİVANKÖY")/P7</f>
        <v>0</v>
      </c>
      <c r="H14" s="10">
        <f>SUMIFS('[7]TABLO-1'!X4:X32873,'[7]TABLO-1'!H4:H32873,"=Dağıtım-AG",'[7]TABLO-1'!J4:J32873,"=Mücbir Sebep",'[7]TABLO-1'!K4:K32873,"=Bildirimsiz",'[7]TABLO-1'!I4:I32873,"=Uzun",'[7]TABLO-1'!D4:D32873,"=PEHLİVANKÖY")/P13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Sebep",'[7]TABLO-1'!K4:K32873,"=Bildirimsiz",'[7]TABLO-1'!I4:I32873,"=Uzun",'[7]TABLO-1'!D4:D32873,"=PEHLİVANKÖY")/P8</f>
        <v>0</v>
      </c>
      <c r="K14" s="10">
        <f>SUMIFS('[7]TABLO-1'!Z4:Z32873,'[7]TABLO-1'!H4:H32873,"=Dağıtım-AG",'[7]TABLO-1'!J4:J32873,"=Mücbir Sebep",'[7]TABLO-1'!K4:K32873,"=Bildirimsiz",'[7]TABLO-1'!I4:I32873,"=Uzun",'[7]TABLO-1'!D4:D32873,"=PEHLİVANKÖY")/P14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1723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SUMIFS('[7]TABLO-1'!U4:U32873,'[7]TABLO-1'!H4:H32873,"=Dağıtım-AG",'[7]TABLO-1'!J4:J32873,"=Güvenlik",'[7]TABLO-1'!K4:K32873,"=Bildirimsiz",'[7]TABLO-1'!I4:I32873,"=Uzun",'[7]TABLO-1'!D4:D32873,"=PEHLİVANKÖY")/P6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SUMIFS('[7]TABLO-1'!V4:V32873,'[7]TABLO-1'!H4:H32873,"=Dağıtım-AG",'[7]TABLO-1'!J4:J32873,"=Güvenlik",'[7]TABLO-1'!K4:K32873,"=Bildirimsiz",'[7]TABLO-1'!I4:I32873,"=Uzun",'[7]TABLO-1'!D4:D32873,"=PEHLİVANKÖY")/P12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SUMIFS('[7]TABLO-1'!W4:W32873,'[7]TABLO-1'!H4:H32873,"=Dağıtım-AG",'[7]TABLO-1'!J4:J32873,"=Güvenlik",'[7]TABLO-1'!K4:K32873,"=Bildirimsiz",'[7]TABLO-1'!I4:I32873,"=Uzun",'[7]TABLO-1'!D4:D32873,"=PEHLİVANKÖY")/P7</f>
        <v>0</v>
      </c>
      <c r="H15" s="10">
        <f>SUMIFS('[7]TABLO-1'!X4:X32873,'[7]TABLO-1'!H4:H32873,"=Dağıtım-AG",'[7]TABLO-1'!J4:J32873,"=Güvenlik",'[7]TABLO-1'!K4:K32873,"=Bildirimsiz",'[7]TABLO-1'!I4:I32873,"=Uzun",'[7]TABLO-1'!D4:D32873,"=PEHLİVANKÖY")/P13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SUMIFS('[7]TABLO-1'!Y4:Y32873,'[7]TABLO-1'!H4:H32873,"=Dağıtım-AG",'[7]TABLO-1'!J4:J32873,"=Güvenlik",'[7]TABLO-1'!K4:K32873,"=Bildirimsiz",'[7]TABLO-1'!I4:I32873,"=Uzun",'[7]TABLO-1'!D4:D32873,"=PEHLİVANKÖY")/P8</f>
        <v>0</v>
      </c>
      <c r="K15" s="10">
        <f>SUMIFS('[7]TABLO-1'!Z4:Z32873,'[7]TABLO-1'!H4:H32873,"=Dağıtım-AG",'[7]TABLO-1'!J4:J32873,"=Güvenlik",'[7]TABLO-1'!K4:K32873,"=Bildirimsiz",'[7]TABLO-1'!I4:I32873,"=Uzun",'[7]TABLO-1'!D4:D32873,"=PEHLİVANKÖY")/P14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3409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23.272222224622965</v>
      </c>
      <c r="H16" s="10">
        <f t="shared" si="4"/>
        <v>57.369661927243918</v>
      </c>
      <c r="I16" s="10">
        <f t="shared" si="4"/>
        <v>57.248749020497037</v>
      </c>
      <c r="J16" s="10">
        <f>SUM(J6:J15)</f>
        <v>49.708333335671341</v>
      </c>
      <c r="K16" s="10">
        <f>SUM(K6:K15)</f>
        <v>117.94250339051131</v>
      </c>
      <c r="L16" s="10">
        <f>SUM(L6:L15)</f>
        <v>116.39436566947126</v>
      </c>
      <c r="M16" s="11">
        <f t="shared" si="4"/>
        <v>87.429276416196473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1692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İşletmecisi",'[7]TABLO-1'!K4:K32873,"=Bildirimli",'[7]TABLO-1'!I4:I32873,"=Uzun",'[7]TABLO-1'!D4:D32873,"=PEHLİVANKÖY")/P6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İşletmecisi",'[7]TABLO-1'!K4:K32873,"=Bildirimli",'[7]TABLO-1'!I4:I32873,"=Uzun",'[7]TABLO-1'!D4:D32873,"=PEHLİVANKÖY")/P12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İşletmecisi",'[7]TABLO-1'!K4:K32873,"=Bildirimli",'[7]TABLO-1'!I4:I32873,"=Uzun",'[7]TABLO-1'!D4:D32873,"=PEHLİVANKÖY")/P7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İşletmecisi",'[7]TABLO-1'!K4:K32873,"=Bildirimli",'[7]TABLO-1'!I4:I32873,"=Uzun",'[7]TABLO-1'!D4:D32873,"=PEHLİVANKÖY")/P13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İşletmecisi",'[7]TABLO-1'!K4:K32873,"=Bildirimli",'[7]TABLO-1'!I4:I32873,"=Uzun",'[7]TABLO-1'!D4:D32873,"=PEHLİVANKÖY")/P8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İşletmecisi",'[7]TABLO-1'!K4:K32873,"=Bildirimli",'[7]TABLO-1'!I4:I32873,"=Uzun",'[7]TABLO-1'!D4:D32873,"=PEHLİVANKÖY")/P14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İşletmecisi",'[7]TABLO-1'!K4:K32873,"=Bildirimli",'[7]TABLO-1'!I4:I32873,"=Uzun",'[7]TABLO-1'!D4:D32873,"=PEHLİVANKÖY")/P6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İşletmecisi",'[7]TABLO-1'!K4:K32873,"=Bildirimli",'[7]TABLO-1'!I4:I32873,"=Uzun",'[7]TABLO-1'!D4:D32873,"=PEHLİVANKÖY")/P12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İşletmecisi",'[7]TABLO-1'!K4:K32873,"=Bildirimli",'[7]TABLO-1'!I4:I32873,"=Uzun",'[7]TABLO-1'!D4:D32873,"=PEHLİVANKÖY")/P7</f>
        <v>32.455555555061437</v>
      </c>
      <c r="H22" s="10">
        <f>SUMIFS('[7]TABLO-1'!X4:X32873,'[7]TABLO-1'!H4:H32873,"=Dağıtım-OG",'[7]TABLO-1'!J4:J32873,"=Şebeke İşletmecisi",'[7]TABLO-1'!K4:K32873,"=Bildirimli",'[7]TABLO-1'!I4:I32873,"=Uzun",'[7]TABLO-1'!D4:D32873,"=PEHLİVANKÖY")/P13</f>
        <v>44.205041516748722</v>
      </c>
      <c r="I22" s="10">
        <f t="shared" ref="I22:I25" si="6">IFERROR((((G22*$P$7)+(H22*$P$13))/$P$20),"0,00")</f>
        <v>44.163376672912953</v>
      </c>
      <c r="J22" s="10">
        <f>SUMIFS('[7]TABLO-1'!Y4:Y32873,'[7]TABLO-1'!H4:H32873,"=Dağıtım-OG",'[7]TABLO-1'!J4:J32873,"=Şebeke İşletmecisi",'[7]TABLO-1'!K4:K32873,"=Bildirimli",'[7]TABLO-1'!I4:I32873,"=Uzun",'[7]TABLO-1'!D4:D32873,"=PEHLİVANKÖY")/P8</f>
        <v>86.102083333680639</v>
      </c>
      <c r="K22" s="10">
        <f>SUMIFS('[7]TABLO-1'!Z4:Z32873,'[7]TABLO-1'!H4:H32873,"=Dağıtım-OG",'[7]TABLO-1'!J4:J32873,"=Şebeke İşletmecisi",'[7]TABLO-1'!K4:K32873,"=Bildirimli",'[7]TABLO-1'!I4:I32873,"=Uzun",'[7]TABLO-1'!D4:D32873,"=PEHLİVANKÖY")/P14</f>
        <v>95.938634164907029</v>
      </c>
      <c r="L22" s="10">
        <f t="shared" ref="L22:L25" si="7">IFERROR((((J22*$P$8)+(K22*$P$14))/$P$23),"0,00")</f>
        <v>95.715456607760657</v>
      </c>
      <c r="M22" s="11">
        <f t="shared" ref="M22:M25" si="8">IFERROR((((F22*$P$17)+(I22*$P$20)+(L22*$P$23))/$P$26),"0,00")</f>
        <v>70.469112396541462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SUMIFS('[7]TABLO-1'!U4:U32873,'[7]TABLO-1'!H4:H32873,"=Dağıtım-OG",'[7]TABLO-1'!J4:J32873,"=Güvenlik",'[7]TABLO-1'!K4:K32873,"=Bildirimli",'[7]TABLO-1'!I4:I32873,"=Uzun",'[7]TABLO-1'!D4:D32873,"=PEHLİVANKÖY")/P6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SUMIFS('[7]TABLO-1'!V4:V32873,'[7]TABLO-1'!H4:H32873,"=Dağıtım-OG",'[7]TABLO-1'!J4:J32873,"=Güvenlik",'[7]TABLO-1'!K4:K32873,"=Bildirimli",'[7]TABLO-1'!I4:I32873,"=Uzun",'[7]TABLO-1'!D4:D32873,"=PEHLİVANKÖY")/P12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SUMIFS('[7]TABLO-1'!W4:W32873,'[7]TABLO-1'!H4:H32873,"=Dağıtım-OG",'[7]TABLO-1'!J4:J32873,"=Güvenlik",'[7]TABLO-1'!K4:K32873,"=Bildirimli",'[7]TABLO-1'!I4:I32873,"=Uzun",'[7]TABLO-1'!D4:D32873,"=PEHLİVANKÖY")/P7</f>
        <v>0</v>
      </c>
      <c r="H23" s="10">
        <f>SUMIFS('[7]TABLO-1'!X4:X32873,'[7]TABLO-1'!H4:H32873,"=Dağıtım-OG",'[7]TABLO-1'!J4:J32873,"=Güvenlik",'[7]TABLO-1'!K4:K32873,"=Bildirimli",'[7]TABLO-1'!I4:I32873,"=Uzun",'[7]TABLO-1'!D4:D32873,"=PEHLİVANKÖY")/P13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SUMIFS('[7]TABLO-1'!Y4:Y32873,'[7]TABLO-1'!H4:H32873,"=Dağıtım-OG",'[7]TABLO-1'!J4:J32873,"=Güvenlik",'[7]TABLO-1'!K4:K32873,"=Bildirimli",'[7]TABLO-1'!I4:I32873,"=Uzun",'[7]TABLO-1'!D4:D32873,"=PEHLİVANKÖY")/P8</f>
        <v>0</v>
      </c>
      <c r="K23" s="10">
        <f>SUMIFS('[7]TABLO-1'!Z4:Z32873,'[7]TABLO-1'!H4:H32873,"=Dağıtım-OG",'[7]TABLO-1'!J4:J32873,"=Güvenlik",'[7]TABLO-1'!K4:K32873,"=Bildirimli",'[7]TABLO-1'!I4:I32873,"=Uzun",'[7]TABLO-1'!D4:D32873,"=PEHLİVANKÖY")/P14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1763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İşletmecisi",'[7]TABLO-1'!K4:K32873,"=Bildirimli",'[7]TABLO-1'!I4:I32873,"=Uzun",'[7]TABLO-1'!D4:D32873,"=PEHLİVANKÖY")/P6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İşletmecisi",'[7]TABLO-1'!K4:K32873,"=Bildirimli",'[7]TABLO-1'!I4:I32873,"=Uzun",'[7]TABLO-1'!D4:D32873,"=PEHLİVANKÖY")/P12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İşletmecisi",'[7]TABLO-1'!K4:K32873,"=Bildirimli",'[7]TABLO-1'!I4:I32873,"=Uzun",'[7]TABLO-1'!D4:D32873,"=PEHLİVANKÖY")/P7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İşletmecisi",'[7]TABLO-1'!K4:K32873,"=Bildirimli",'[7]TABLO-1'!I4:I32873,"=Uzun",'[7]TABLO-1'!D4:D32873,"=PEHLİVANKÖY")/P13</f>
        <v>0.91263345198281565</v>
      </c>
      <c r="I24" s="10">
        <f t="shared" si="6"/>
        <v>0.90939716314599706</v>
      </c>
      <c r="J24" s="12">
        <f>SUMIFS('[7]TABLO-1'!Y4:Y32873,'[7]TABLO-1'!H4:H32873,"=Dağıtım-AG",'[7]TABLO-1'!J4:J32873,"=Şebeke İşletmecisi",'[7]TABLO-1'!K4:K32873,"=Bildirimli",'[7]TABLO-1'!I4:I32873,"=Uzun",'[7]TABLO-1'!D4:D32873,"=PEHLİVANKÖY")/P8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İşletmecisi",'[7]TABLO-1'!K4:K32873,"=Bildirimli",'[7]TABLO-1'!I4:I32873,"=Uzun",'[7]TABLO-1'!D4:D32873,"=PEHLİVANKÖY")/P14</f>
        <v>4.9613077966177442E-2</v>
      </c>
      <c r="L24" s="10">
        <f t="shared" si="7"/>
        <v>4.8487426736088329E-2</v>
      </c>
      <c r="M24" s="11">
        <f t="shared" si="8"/>
        <v>0.47009647854667175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SUMIFS('[7]TABLO-1'!U4:U32873,'[7]TABLO-1'!H4:H32873,"=Dağıtım-AG",'[7]TABLO-1'!J4:J32873,"=Güvenlik",'[7]TABLO-1'!K4:K32873,"=Bildirimli",'[7]TABLO-1'!I4:I32873,"=Uzun",'[7]TABLO-1'!D4:D32873,"=PEHLİVANKÖY")/P6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SUMIFS('[7]TABLO-1'!V4:V32873,'[7]TABLO-1'!H4:H32873,"=Dağıtım-AG",'[7]TABLO-1'!J4:J32873,"=Güvenlik",'[7]TABLO-1'!K4:K32873,"=Bildirimli",'[7]TABLO-1'!I4:I32873,"=Uzun",'[7]TABLO-1'!D4:D32873,"=PEHLİVANKÖY")/P12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SUMIFS('[7]TABLO-1'!W4:W32873,'[7]TABLO-1'!H4:H32873,"=Dağıtım-AG",'[7]TABLO-1'!J4:J32873,"=Güvenlik",'[7]TABLO-1'!K4:K32873,"=Bildirimli",'[7]TABLO-1'!I4:I32873,"=Uzun",'[7]TABLO-1'!D4:D32873,"=PEHLİVANKÖY")/P7</f>
        <v>0</v>
      </c>
      <c r="H25" s="10">
        <f>SUMIFS('[7]TABLO-1'!X4:X32873,'[7]TABLO-1'!H4:H32873,"=Dağıtım-AG",'[7]TABLO-1'!J4:J32873,"=Güvenlik",'[7]TABLO-1'!K4:K32873,"=Bildirimli",'[7]TABLO-1'!I4:I32873,"=Uzun",'[7]TABLO-1'!D4:D32873,"=PEHLİVANKÖY")/P13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SUMIFS('[7]TABLO-1'!Y4:Y32873,'[7]TABLO-1'!H4:H32873,"=Dağıtım-AG",'[7]TABLO-1'!J4:J32873,"=Güvenlik",'[7]TABLO-1'!K4:K32873,"=Bildirimli",'[7]TABLO-1'!I4:I32873,"=Uzun",'[7]TABLO-1'!D4:D32873,"=PEHLİVANKÖY")/P8</f>
        <v>0</v>
      </c>
      <c r="K25" s="10">
        <f>SUMIFS('[7]TABLO-1'!Z4:Z32873,'[7]TABLO-1'!H4:H32873,"=Dağıtım-AG",'[7]TABLO-1'!J4:J32873,"=Güvenlik",'[7]TABLO-1'!K4:K32873,"=Bildirimli",'[7]TABLO-1'!I4:I32873,"=Uzun",'[7]TABLO-1'!D4:D32873,"=PEHLİVANKÖY")/P14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32.455555555061437</v>
      </c>
      <c r="H26" s="10">
        <f t="shared" si="9"/>
        <v>45.117674968731535</v>
      </c>
      <c r="I26" s="10">
        <f t="shared" si="9"/>
        <v>45.07277383605895</v>
      </c>
      <c r="J26" s="10">
        <f t="shared" si="9"/>
        <v>86.102083333680639</v>
      </c>
      <c r="K26" s="10">
        <f t="shared" si="9"/>
        <v>95.9882472428732</v>
      </c>
      <c r="L26" s="10">
        <f t="shared" si="9"/>
        <v>95.763944034496745</v>
      </c>
      <c r="M26" s="11">
        <f t="shared" si="9"/>
        <v>70.939208875088127</v>
      </c>
      <c r="O26" s="43" t="s">
        <v>22</v>
      </c>
      <c r="P26" s="44">
        <f>P20+P17+P23</f>
        <v>3455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İşletmecisi",'[7]TABLO-1'!K4:K32873,"=Bildirimsiz",'[7]TABLO-1'!I4:I32873,"=Uzun",'[7]TABLO-1'!D4:D32873,"=PEHLİVANKÖY")/P6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İşletmecisi",'[7]TABLO-1'!K4:K32873,"=Bildirimsiz",'[7]TABLO-1'!I4:I32873,"=Uzun",'[7]TABLO-1'!D4:D32873,"=PEHLİVANKÖY")/P12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İşletmecisi",'[7]TABLO-1'!K4:K32873,"=Bildirimsiz",'[7]TABLO-1'!I4:I32873,"=Uzun",'[7]TABLO-1'!D4:D32873,"=PEHLİVANKÖY")/P7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İşletmecisi",'[7]TABLO-1'!K4:K32873,"=Bildirimsiz",'[7]TABLO-1'!I4:I32873,"=Uzun",'[7]TABLO-1'!D4:D32873,"=PEHLİVANKÖY")/P13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İşletmecisi",'[7]TABLO-1'!K4:K32873,"=Bildirimsiz",'[7]TABLO-1'!I4:I32873,"=Uzun",'[7]TABLO-1'!D4:D32873,"=PEHLİVANKÖY")/P8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İşletmecisi",'[7]TABLO-1'!K4:K32873,"=bildirimsiz",'[7]TABLO-1'!I4:I32873,"=Uzun",'[7]TABLO-1'!D4:D32873,"=PEHLİVANKÖY")/P14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Sebep",'[7]TABLO-1'!K4:K32873,"=Bildirimsiz",'[7]TABLO-1'!I4:I32873,"=Uzun",'[7]TABLO-1'!D4:D32873,"=PEHLİVANKÖY")/P6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Sebep",'[7]TABLO-1'!K4:K32873,"=Bildirimsiz",'[7]TABLO-1'!I4:I32873,"=Uzun",'[7]TABLO-1'!D4:D32873,"=PEHLİVANKÖY")/P12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Sebep",'[7]TABLO-1'!K4:K32873,"=Bildirimsiz",'[7]TABLO-1'!I4:I32873,"=Uzun",'[7]TABLO-1'!D4:D32873,"=PEHLİVANKÖY")/P7</f>
        <v>0</v>
      </c>
      <c r="H32" s="10">
        <f>SUMIFS('[7]TABLO-1'!R4:R32873,'[7]TABLO-1'!H4:H32873,"=İletim",'[7]TABLO-1'!J4:J32873,"=Mücbir Sebep",'[7]TABLO-1'!K4:K32873,"=Bildirimsiz",'[7]TABLO-1'!I4:I32873,"=Uzun",'[7]TABLO-1'!D4:D32873,"=PEHLİVANKÖY")/P13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Sebep",'[7]TABLO-1'!K4:K32873,"=Bildirimsiz",'[7]TABLO-1'!I4:I32873,"=Uzun",'[7]TABLO-1'!D4:D32873,"=PEHLİVANKÖY")/P8</f>
        <v>0</v>
      </c>
      <c r="K32" s="10">
        <f>SUMIFS('[7]TABLO-1'!T4:T32873,'[7]TABLO-1'!H4:H32873,"=İletim",'[7]TABLO-1'!J4:J32873,"=Mücbir Sebep",'[7]TABLO-1'!K4:K32873,"=bildirimsiz",'[7]TABLO-1'!I4:I32873,"=Uzun",'[7]TABLO-1'!D4:D32873,"=PEHLİVANKÖY")/P14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İşletmecisi",'[7]TABLO-1'!K4:K32873,"=Bildirimsiz",'[7]TABLO-1'!I4:I32873,"=Uzun",'[7]TABLO-1'!D4:D32873,"=PEHLİVANKÖY")/P6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İşletmecisi",'[7]TABLO-1'!K4:K32873,"=Bildirimsiz",'[7]TABLO-1'!I4:I32873,"=Uzun",'[7]TABLO-1'!D4:D32873,"=PEHLİVANKÖY")/P12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İşletmecisi",'[7]TABLO-1'!K4:K32873,"=Bildirimsiz",'[7]TABLO-1'!I4:I32873,"=Uzun",'[7]TABLO-1'!D4:D32873,"=PEHLİVANKÖY")/P7</f>
        <v>0.66666666666666663</v>
      </c>
      <c r="H33" s="10">
        <f>SUMIFS('[7]TABLO-1'!R4:R32873,'[7]TABLO-1'!H4:H32873,"=Dağıtım-OG",'[7]TABLO-1'!J4:J32873,"=Şebeke İşletmecisi",'[7]TABLO-1'!K4:K32873,"=Bildirimsiz",'[7]TABLO-1'!I4:I32873,"=Uzun",'[7]TABLO-1'!D4:D32873,"=PEHLİVANKÖY")/P13</f>
        <v>1.568208778173191</v>
      </c>
      <c r="I33" s="10">
        <f t="shared" si="11"/>
        <v>1.5650118203309693</v>
      </c>
      <c r="J33" s="10">
        <f>SUMIFS('[7]TABLO-1'!S4:S32873,'[7]TABLO-1'!H4:H32873,"=Dağıtım-OG",'[7]TABLO-1'!J4:J32873,"=Şebeke İşletmecisi",'[7]TABLO-1'!K4:K32873,"=Bildirimsiz",'[7]TABLO-1'!I4:I32873,"=Uzun",'[7]TABLO-1'!D4:D32873,"=PEHLİVANKÖY")/P8</f>
        <v>1.175</v>
      </c>
      <c r="K33" s="10">
        <f>SUMIFS('[7]TABLO-1'!T4:T32873,'[7]TABLO-1'!H4:H32873,"=Dağıtım-OG",'[7]TABLO-1'!J4:J32873,"=Şebeke İşletmecisi",'[7]TABLO-1'!K4:K32873,"=bildirimsiz",'[7]TABLO-1'!I4:I32873,"=Uzun",'[7]TABLO-1'!D4:D32873,"=PEHLİVANKÖY")/P14</f>
        <v>1.7730702263493905</v>
      </c>
      <c r="L33" s="10">
        <f t="shared" si="12"/>
        <v>1.7595008508224617</v>
      </c>
      <c r="M33" s="11">
        <f t="shared" si="13"/>
        <v>1.6642547033285093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SUMIFS('[7]TABLO-1'!O4:O32873,'[7]TABLO-1'!H4:H32873,"=Dağıtım-OG",'[7]TABLO-1'!J4:J32873,"=Dışsal",'[7]TABLO-1'!K4:K32873,"=Bildirimsiz",'[7]TABLO-1'!I4:I32873,"=Uzun",'[7]TABLO-1'!D4:D32873,"=PEHLİVANKÖY")/P6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SUMIFS('[7]TABLO-1'!P4:P32873,'[7]TABLO-1'!H4:H32873,"=Dağıtım-OG",'[7]TABLO-1'!J4:J32873,"=Dışsal",'[7]TABLO-1'!K4:K32873,"=Bildirimsiz",'[7]TABLO-1'!I4:I32873,"=Uzun",'[7]TABLO-1'!D4:D32873,"=PEHLİVANKÖY")/P12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SUMIFS('[7]TABLO-1'!Q4:Q32873,'[7]TABLO-1'!H4:H32873,"=Dağıtım-OG",'[7]TABLO-1'!J4:J32873,"=Dışsal",'[7]TABLO-1'!K4:K32873,"=Bildirimsiz",'[7]TABLO-1'!I4:I32873,"=Uzun",'[7]TABLO-1'!D4:D32873,"=PEHLİVANKÖY")/P7</f>
        <v>0</v>
      </c>
      <c r="H34" s="10">
        <f>SUMIFS('[7]TABLO-1'!R4:R32873,'[7]TABLO-1'!H4:H32873,"=Dağıtım-OG",'[7]TABLO-1'!J4:J32873,"=Dışsal",'[7]TABLO-1'!K4:K32873,"=Bildirimsiz",'[7]TABLO-1'!I4:I32873,"=Uzun",'[7]TABLO-1'!D4:D32873,"=PEHLİVANKÖY")/P13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SUMIFS('[7]TABLO-1'!S4:S32873,'[7]TABLO-1'!H4:H32873,"=Dağıtım-OG",'[7]TABLO-1'!J4:J32873,"=Dışsal",'[7]TABLO-1'!K4:K32873,"=Bildirimsiz",'[7]TABLO-1'!I4:I32873,"=Uzun",'[7]TABLO-1'!D4:D32873,"=PEHLİVANKÖY")/P8</f>
        <v>0</v>
      </c>
      <c r="K34" s="10">
        <f>SUMIFS('[7]TABLO-1'!T4:T32873,'[7]TABLO-1'!H4:H32873,"=Dağıtım-OG",'[7]TABLO-1'!J4:J32873,"=Dışsal",'[7]TABLO-1'!K4:K32873,"=bildirimsiz",'[7]TABLO-1'!I4:I32873,"=Uzun",'[7]TABLO-1'!D4:D32873,"=PEHLİVANKÖY")/P14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Sebep",'[7]TABLO-1'!K4:K32873,"=Bildirimsiz",'[7]TABLO-1'!I4:I32873,"=Uzun",'[7]TABLO-1'!D4:D32873,"=PEHLİVANKÖY")/P6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Sebep",'[7]TABLO-1'!K4:K32873,"=Bildirimsiz",'[7]TABLO-1'!I4:I32873,"=Uzun",'[7]TABLO-1'!D4:D32873,"=PEHLİVANKÖY")/P12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Sebep",'[7]TABLO-1'!K4:K32873,"=Bildirimsiz",'[7]TABLO-1'!I4:I32873,"=Uzun",'[7]TABLO-1'!D4:D32873,"=PEHLİVANKÖY")/P7</f>
        <v>0</v>
      </c>
      <c r="H35" s="10">
        <f>SUMIFS('[7]TABLO-1'!R4:R32873,'[7]TABLO-1'!H4:H32873,"=Dağıtım-OG",'[7]TABLO-1'!J4:J32873,"=Mücbir Sebep",'[7]TABLO-1'!K4:K32873,"=Bildirimsiz",'[7]TABLO-1'!I4:I32873,"=Uzun",'[7]TABLO-1'!D4:D32873,"=PEHLİVANKÖY")/P13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Sebep",'[7]TABLO-1'!K4:K32873,"=Bildirimsiz",'[7]TABLO-1'!I4:I32873,"=Uzun",'[7]TABLO-1'!D4:D32873,"=PEHLİVANKÖY")/P8</f>
        <v>0</v>
      </c>
      <c r="K35" s="10">
        <f>SUMIFS('[7]TABLO-1'!T4:T32873,'[7]TABLO-1'!H4:H32873,"=Dağıtım-OG",'[7]TABLO-1'!J4:J32873,"=Mücbir Sebep",'[7]TABLO-1'!K4:K32873,"=bildirimsiz",'[7]TABLO-1'!I4:I32873,"=Uzun",'[7]TABLO-1'!D4:D32873,"=PEHLİVANKÖY")/P14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SUMIFS('[7]TABLO-1'!O4:O32873,'[7]TABLO-1'!H4:H32873,"=Dağıtım-OG",'[7]TABLO-1'!J4:J32873,"=Güvenlik",'[7]TABLO-1'!K4:K32873,"=Bildirimsiz",'[7]TABLO-1'!I4:I32873,"=Uzun",'[7]TABLO-1'!D4:D32873,"=PEHLİVANKÖY")/P6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SUMIFS('[7]TABLO-1'!P4:P32873,'[7]TABLO-1'!H4:H32873,"=Dağıtım-OG",'[7]TABLO-1'!J4:J32873,"=Güvenlik",'[7]TABLO-1'!K4:K32873,"=Bildirimsiz",'[7]TABLO-1'!I4:I32873,"=Uzun",'[7]TABLO-1'!D4:D32873,"=PEHLİVANKÖY")/P12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SUMIFS('[7]TABLO-1'!Q4:Q32873,'[7]TABLO-1'!H4:H32873,"=Dağıtım-OG",'[7]TABLO-1'!J4:J32873,"=Güvenlik",'[7]TABLO-1'!K4:K32873,"=Bildirimsiz",'[7]TABLO-1'!I4:I32873,"=Uzun",'[7]TABLO-1'!D4:D32873,"=PEHLİVANKÖY")/P7</f>
        <v>0</v>
      </c>
      <c r="H36" s="10">
        <f>SUMIFS('[7]TABLO-1'!R4:R32873,'[7]TABLO-1'!H4:H32873,"=Dağıtım-OG",'[7]TABLO-1'!J4:J32873,"=Güvenlik",'[7]TABLO-1'!K4:K32873,"=Bildirimsiz",'[7]TABLO-1'!I4:I32873,"=Uzun",'[7]TABLO-1'!D4:D32873,"=PEHLİVANKÖY")/P13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SUMIFS('[7]TABLO-1'!S4:S32873,'[7]TABLO-1'!H4:H32873,"=Dağıtım-OG",'[7]TABLO-1'!J4:J32873,"=Güvenlik",'[7]TABLO-1'!K4:K32873,"=Bildirimsiz",'[7]TABLO-1'!I4:I32873,"=Uzun",'[7]TABLO-1'!D4:D32873,"=PEHLİVANKÖY")/P8</f>
        <v>0</v>
      </c>
      <c r="K36" s="10">
        <f>SUMIFS('[7]TABLO-1'!T4:T32873,'[7]TABLO-1'!H4:H32873,"=Dağıtım-OG",'[7]TABLO-1'!J4:J32873,"=Güvenlik",'[7]TABLO-1'!K4:K32873,"=bildirimsiz",'[7]TABLO-1'!I4:I32873,"=Uzun",'[7]TABLO-1'!D4:D32873,"=PEHLİVANKÖY")/P14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İşletmecisi",'[7]TABLO-1'!K4:K32873,"=Bildirimsiz",'[7]TABLO-1'!I4:I32873,"=Uzun",'[7]TABLO-1'!D4:D32873,"=PEHLİVANKÖY")/P6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İşletmecisi",'[7]TABLO-1'!K4:K32873,"=Bildirimsiz",'[7]TABLO-1'!I4:I32873,"=Uzun",'[7]TABLO-1'!D4:D32873,"=PEHLİVANKÖY")/P12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İşletmecisi",'[7]TABLO-1'!K4:K32873,"=Bildirimsiz",'[7]TABLO-1'!I4:I32873,"=Uzun",'[7]TABLO-1'!D4:D32873,"=PEHLİVANKÖY")/P7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İşletmecisi",'[7]TABLO-1'!K4:K32873,"=Bildirimsiz",'[7]TABLO-1'!I4:I32873,"=Uzun",'[7]TABLO-1'!D4:D32873,"=PEHLİVANKÖY")/P13</f>
        <v>1.0676156583629894E-2</v>
      </c>
      <c r="I37" s="10">
        <f t="shared" si="11"/>
        <v>1.0638297872340425E-2</v>
      </c>
      <c r="J37" s="12">
        <f>SUMIFS('[7]TABLO-1'!S4:S32873,'[7]TABLO-1'!H4:H32873,"=Dağıtım-AG",'[7]TABLO-1'!J4:J32873,"=Şebeke İşletmecisi",'[7]TABLO-1'!K4:K32873,"=Bildirimsiz",'[7]TABLO-1'!I4:I32873,"=Uzun",'[7]TABLO-1'!D4:D32873,"=PEHLİVANKÖY")/P8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İşletmecisi",'[7]TABLO-1'!K4:K32873,"=bildirimsiz",'[7]TABLO-1'!I4:I32873,"=Uzun",'[7]TABLO-1'!D4:D32873,"=PEHLİVANKÖY")/P14</f>
        <v>0.1567034242600116</v>
      </c>
      <c r="L37" s="10">
        <f t="shared" si="12"/>
        <v>0.15314804310833807</v>
      </c>
      <c r="M37" s="11">
        <f t="shared" si="13"/>
        <v>8.3357452966714901E-2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SUMIFS('[7]TABLO-1'!O4:O32873,'[7]TABLO-1'!H4:H32873,"=Dağıtım-AG",'[7]TABLO-1'!J4:J32873,"=Dışsal",'[7]TABLO-1'!K4:K32873,"=Bildirimsiz",'[7]TABLO-1'!I4:I32873,"=Uzun",'[7]TABLO-1'!D4:D32873,"=PEHLİVANKÖY")/P6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SUMIFS('[7]TABLO-1'!P4:P32873,'[7]TABLO-1'!H4:H32873,"=Dağıtım-AG",'[7]TABLO-1'!J4:J32873,"=Dışsal",'[7]TABLO-1'!K4:K32873,"=Bildirimsiz",'[7]TABLO-1'!I4:I32873,"=Uzun",'[7]TABLO-1'!D4:D32873,"=PEHLİVANKÖY")/P12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SUMIFS('[7]TABLO-1'!Q4:Q32873,'[7]TABLO-1'!H4:H32873,"=Dağıtım-AG",'[7]TABLO-1'!J4:J32873,"=Dışsal",'[7]TABLO-1'!K4:K32873,"=Bildirimsiz",'[7]TABLO-1'!I4:I32873,"=Uzun",'[7]TABLO-1'!D4:D32873,"=PEHLİVANKÖY")/P7</f>
        <v>0</v>
      </c>
      <c r="H38" s="10">
        <f>SUMIFS('[7]TABLO-1'!R4:R32873,'[7]TABLO-1'!H4:H32873,"=Dağıtım-AG",'[7]TABLO-1'!J4:J32873,"=Dışsal",'[7]TABLO-1'!K4:K32873,"=Bildirimsiz",'[7]TABLO-1'!I4:I32873,"=Uzun",'[7]TABLO-1'!D4:D32873,"=PEHLİVANKÖY")/P13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SUMIFS('[7]TABLO-1'!S4:S32873,'[7]TABLO-1'!H4:H32873,"=Dağıtım-AG",'[7]TABLO-1'!J4:J32873,"=Dışsal",'[7]TABLO-1'!K4:K32873,"=Bildirimsiz",'[7]TABLO-1'!I4:I32873,"=Uzun",'[7]TABLO-1'!D4:D32873,"=PEHLİVANKÖY")/P8</f>
        <v>0</v>
      </c>
      <c r="K38" s="10">
        <f>SUMIFS('[7]TABLO-1'!T4:T32873,'[7]TABLO-1'!H4:H32873,"=Dağıtım-AG",'[7]TABLO-1'!J4:J32873,"=Dışsal",'[7]TABLO-1'!K4:K32873,"=bildirimsiz",'[7]TABLO-1'!I4:I32873,"=Uzun",'[7]TABLO-1'!D4:D32873,"=PEHLİVANKÖY")/P14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Sebep",'[7]TABLO-1'!K4:K32873,"=Bildirimsiz",'[7]TABLO-1'!I4:I32873,"=Uzun",'[7]TABLO-1'!D4:D32873,"=PEHLİVANKÖY")/P6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Sebep",'[7]TABLO-1'!K4:K32873,"=Bildirimsiz",'[7]TABLO-1'!I4:I32873,"=Uzun",'[7]TABLO-1'!D4:D32873,"=PEHLİVANKÖY")/P12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Sebep",'[7]TABLO-1'!K4:K32873,"=Bildirimsiz",'[7]TABLO-1'!I4:I32873,"=Uzun",'[7]TABLO-1'!D4:D32873,"=PEHLİVANKÖY")/P7</f>
        <v>0</v>
      </c>
      <c r="H39" s="10">
        <f>SUMIFS('[7]TABLO-1'!R4:R32873,'[7]TABLO-1'!H4:H32873,"=Dağıtım-AG",'[7]TABLO-1'!J4:J32873,"=Mücbir Sebep",'[7]TABLO-1'!K4:K32873,"=Bildirimsiz",'[7]TABLO-1'!I4:I32873,"=Uzun",'[7]TABLO-1'!D4:D32873,"=PEHLİVANKÖY")/P13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Sebep",'[7]TABLO-1'!K4:K32873,"=Bildirimsiz",'[7]TABLO-1'!I4:I32873,"=Uzun",'[7]TABLO-1'!D4:D32873,"=PEHLİVANKÖY")/P8</f>
        <v>0</v>
      </c>
      <c r="K39" s="10">
        <f>SUMIFS('[7]TABLO-1'!T4:T32873,'[7]TABLO-1'!H4:H32873,"=Dağıtım-AG",'[7]TABLO-1'!J4:J32873,"=Mücbir Sebep",'[7]TABLO-1'!K4:K32873,"=bildirimsiz",'[7]TABLO-1'!I4:I32873,"=Uzun",'[7]TABLO-1'!D4:D32873,"=PEHLİVANKÖY")/P14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SUMIFS('[7]TABLO-1'!O4:O32873,'[7]TABLO-1'!H4:H32873,"=Dağıtım-AG",'[7]TABLO-1'!J4:J32873,"=Güvenlik",'[7]TABLO-1'!K4:K32873,"=Bildirimsiz",'[7]TABLO-1'!I4:I32873,"=Uzun",'[7]TABLO-1'!D4:D32873,"=PEHLİVANKÖY")/P6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SUMIFS('[7]TABLO-1'!P4:P32873,'[7]TABLO-1'!H4:H32873,"=Dağıtım-AG",'[7]TABLO-1'!J4:J32873,"=Güvenlik",'[7]TABLO-1'!K4:K32873,"=Bildirimsiz",'[7]TABLO-1'!I4:I32873,"=Uzun",'[7]TABLO-1'!D4:D32873,"=PEHLİVANKÖY")/P12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SUMIFS('[7]TABLO-1'!Q4:Q32873,'[7]TABLO-1'!H4:H32873,"=Dağıtım-AG",'[7]TABLO-1'!J4:J32873,"=Güvenlik",'[7]TABLO-1'!K4:K32873,"=Bildirimsiz",'[7]TABLO-1'!I4:I32873,"=Uzun",'[7]TABLO-1'!D4:D32873,"=PEHLİVANKÖY")/P7</f>
        <v>0</v>
      </c>
      <c r="H40" s="10">
        <f>SUMIFS('[7]TABLO-1'!R4:R32873,'[7]TABLO-1'!H4:H32873,"=Dağıtım-AG",'[7]TABLO-1'!J4:J32873,"=Güvenlik",'[7]TABLO-1'!K4:K32873,"=Bildirimsiz",'[7]TABLO-1'!I4:I32873,"=Uzun",'[7]TABLO-1'!D4:D32873,"=PEHLİVANKÖY")/P13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SUMIFS('[7]TABLO-1'!S4:S32873,'[7]TABLO-1'!H4:H32873,"=Dağıtım-AG",'[7]TABLO-1'!J4:J32873,"=Güvenlik",'[7]TABLO-1'!K4:K32873,"=Bildirimsiz",'[7]TABLO-1'!I4:I32873,"=Uzun",'[7]TABLO-1'!D4:D32873,"=PEHLİVANKÖY")/P8</f>
        <v>0</v>
      </c>
      <c r="K40" s="10">
        <f>SUMIFS('[7]TABLO-1'!T4:T32873,'[7]TABLO-1'!H4:H32873,"=Dağıtım-AG",'[7]TABLO-1'!J4:J32873,"=Güvenlik",'[7]TABLO-1'!K4:K32873,"=bildirimsiz",'[7]TABLO-1'!I4:I32873,"=Uzun",'[7]TABLO-1'!D4:D32873,"=PEHLİVANKÖY")/P14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0.66666666666666663</v>
      </c>
      <c r="H41" s="10">
        <f t="shared" si="14"/>
        <v>1.578884934756821</v>
      </c>
      <c r="I41" s="10">
        <f t="shared" si="14"/>
        <v>1.5756501182033098</v>
      </c>
      <c r="J41" s="10">
        <f t="shared" si="14"/>
        <v>1.175</v>
      </c>
      <c r="K41" s="10">
        <f t="shared" si="14"/>
        <v>1.9297736506094021</v>
      </c>
      <c r="L41" s="10">
        <f t="shared" si="14"/>
        <v>1.9126488939307997</v>
      </c>
      <c r="M41" s="10">
        <f t="shared" si="14"/>
        <v>1.7476121562952243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İşletmecisi",'[7]TABLO-1'!K4:K32873,"=Bildirimli",'[7]TABLO-1'!I4:I32873,"=Uzun",'[7]TABLO-1'!D4:D32873,"=PEHLİVANKÖY")/P6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İşletmecisi",'[7]TABLO-1'!K4:K32873,"=Bildirimli",'[7]TABLO-1'!I4:I32873,"=Uzun",'[7]TABLO-1'!D4:D32873,"=PEHLİVANKÖY")/P12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İşletmecisi",'[7]TABLO-1'!K4:K32873,"=Bildirimli",'[7]TABLO-1'!I4:I32873,"=Uzun",'[7]TABLO-1'!D4:D32873,"=PEHLİVANKÖY")/P7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İşletmecisi",'[7]TABLO-1'!K4:K32873,"=Bildirimli",'[7]TABLO-1'!I4:I32873,"=Uzun",'[7]TABLO-1'!D4:D32873,"=PEHLİVANKÖY")/P13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İşletmecisi",'[7]TABLO-1'!K4:K32873,"=Bildirimli",'[7]TABLO-1'!I4:I32873,"=Uzun",'[7]TABLO-1'!D4:D32873,"=PEHLİVANKÖY")/P8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İşletmecisi",'[7]TABLO-1'!K4:K32873,"=bildirimli",'[7]TABLO-1'!I4:I32873,"=Uzun",'[7]TABLO-1'!D4:D32873,"=PEHLİVANKÖY")/P14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İşletmecisi",'[7]TABLO-1'!K4:K32873,"=Bildirimli",'[7]TABLO-1'!I4:I32873,"=Uzun",'[7]TABLO-1'!D4:D32873,"=PEHLİVANKÖY")/P6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İşletmecisi",'[7]TABLO-1'!K4:K32873,"=Bildirimli",'[7]TABLO-1'!I4:I32873,"=Uzun",'[7]TABLO-1'!D4:D32873,"=PEHLİVANKÖY")/P12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İşletmecisi",'[7]TABLO-1'!K4:K32873,"=Bildirimli",'[7]TABLO-1'!I4:I32873,"=Uzun",'[7]TABLO-1'!D4:D32873,"=PEHLİVANKÖY")/P7</f>
        <v>0.5</v>
      </c>
      <c r="H47" s="10">
        <f>SUMIFS('[7]TABLO-1'!R4:R32873,'[7]TABLO-1'!H4:H32873,"=Dağıtım-OG",'[7]TABLO-1'!J4:J32873,"=Şebeke İşletmecisi",'[7]TABLO-1'!K4:K32873,"=Bildirimli",'[7]TABLO-1'!I4:I32873,"=Uzun",'[7]TABLO-1'!D4:D32873,"=PEHLİVANKÖY")/P13</f>
        <v>0.92348754448398573</v>
      </c>
      <c r="I47" s="10">
        <f t="shared" ref="I47:I50" si="16">IFERROR((((G47*$P$7)+(H47*$P$13))/$P$20),"0,00")</f>
        <v>0.92198581560283688</v>
      </c>
      <c r="J47" s="10">
        <f>SUMIFS('[7]TABLO-1'!S4:S32873,'[7]TABLO-1'!H4:H32873,"=Dağıtım-OG",'[7]TABLO-1'!J4:J32873,"=Şebeke İşletmecisi",'[7]TABLO-1'!K4:K32873,"=Bildirimli",'[7]TABLO-1'!I4:I32873,"=Uzun",'[7]TABLO-1'!D4:D32873,"=PEHLİVANKÖY")/P8</f>
        <v>0.4</v>
      </c>
      <c r="K47" s="10">
        <f>SUMIFS('[7]TABLO-1'!T4:T32873,'[7]TABLO-1'!H4:H32873,"=Dağıtım-OG",'[7]TABLO-1'!J4:J32873,"=Şebeke İşletmecisi",'[7]TABLO-1'!K4:K32873,"=bildirimli",'[7]TABLO-1'!I4:I32873,"=Uzun",'[7]TABLO-1'!D4:D32873,"=PEHLİVANKÖY")/P14</f>
        <v>0.51305861868833436</v>
      </c>
      <c r="L47" s="10">
        <f t="shared" ref="L47:L50" si="17">IFERROR((((J47*$P$8)+(K47*$P$14))/$P$23),"0,00")</f>
        <v>0.51049347702779357</v>
      </c>
      <c r="M47" s="11">
        <f t="shared" ref="M47:M50" si="18">IFERROR((((F47*$P$17)+(I47*$P$20)+(L47*$P$23))/$P$26),"0,00")</f>
        <v>0.7120115774240231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SUMIFS('[7]TABLO-1'!O4:O32873,'[7]TABLO-1'!H4:H32873,"=Dağıtım-OG",'[7]TABLO-1'!J4:J32873,"=Güvenlik",'[7]TABLO-1'!K4:K32873,"=Bildirimli",'[7]TABLO-1'!I4:I32873,"=Uzun",'[7]TABLO-1'!D4:D32873,"=PEHLİVANKÖY")/P6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SUMIFS('[7]TABLO-1'!P4:P32873,'[7]TABLO-1'!H4:H32873,"=Dağıtım-OG",'[7]TABLO-1'!J4:J32873,"=Güvenlik",'[7]TABLO-1'!K4:K32873,"=Bildirimli",'[7]TABLO-1'!I4:I32873,"=Uzun",'[7]TABLO-1'!D4:D32873,"=PEHLİVANKÖY")/P12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SUMIFS('[7]TABLO-1'!Q4:Q32873,'[7]TABLO-1'!H4:H32873,"=Dağıtım-OG",'[7]TABLO-1'!J4:J32873,"=Güvenlik",'[7]TABLO-1'!K4:K32873,"=Bildirimli",'[7]TABLO-1'!I4:I32873,"=Uzun",'[7]TABLO-1'!D4:D32873,"=PEHLİVANKÖY")/P7</f>
        <v>0</v>
      </c>
      <c r="H48" s="10">
        <f>SUMIFS('[7]TABLO-1'!R4:R32873,'[7]TABLO-1'!H4:H32873,"=Dağıtım-OG",'[7]TABLO-1'!J4:J32873,"=Güvenlik",'[7]TABLO-1'!K4:K32873,"=Bildirimli",'[7]TABLO-1'!I4:I32873,"=Uzun",'[7]TABLO-1'!D4:D32873,"=PEHLİVANKÖY")/P13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SUMIFS('[7]TABLO-1'!S4:S32873,'[7]TABLO-1'!H4:H32873,"=Dağıtım-OG",'[7]TABLO-1'!J4:J32873,"=Güvenlik",'[7]TABLO-1'!K4:K32873,"=Bildirimli",'[7]TABLO-1'!I4:I32873,"=Uzun",'[7]TABLO-1'!D4:D32873,"=PEHLİVANKÖY")/P8</f>
        <v>0</v>
      </c>
      <c r="K48" s="10">
        <f>SUMIFS('[7]TABLO-1'!T4:T32873,'[7]TABLO-1'!H4:H32873,"=Dağıtım-OG",'[7]TABLO-1'!J4:J32873,"=Güvenlik",'[7]TABLO-1'!K4:K32873,"=bildirimli",'[7]TABLO-1'!I4:I32873,"=Uzun",'[7]TABLO-1'!D4:D32873,"=PEHLİVANKÖY")/P14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İşletmecisi",'[7]TABLO-1'!K4:K32873,"=Bildirimli",'[7]TABLO-1'!I4:I32873,"=Uzun",'[7]TABLO-1'!D4:D32873,"=PEHLİVANKÖY")/P6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İşletmecisi",'[7]TABLO-1'!K4:K32873,"=Bildirimli",'[7]TABLO-1'!I4:I32873,"=Uzun",'[7]TABLO-1'!D4:D32873,"=PEHLİVANKÖY")/P12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İşletmecisi",'[7]TABLO-1'!K4:K32873,"=Bildirimli",'[7]TABLO-1'!I4:I32873,"=Uzun",'[7]TABLO-1'!D4:D32873,"=PEHLİVANKÖY")/P7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İşletmecisi",'[7]TABLO-1'!K4:K32873,"=Bildirimli",'[7]TABLO-1'!I4:I32873,"=Uzun",'[7]TABLO-1'!D4:D32873,"=PEHLİVANKÖY")/P13</f>
        <v>1.0676156583629894E-2</v>
      </c>
      <c r="I49" s="10">
        <f t="shared" si="16"/>
        <v>1.0638297872340425E-2</v>
      </c>
      <c r="J49" s="12">
        <f>SUMIFS('[7]TABLO-1'!S4:S32873,'[7]TABLO-1'!H4:H32873,"=Dağıtım-AG",'[7]TABLO-1'!J4:J32873,"=Şebeke İşletmecisi",'[7]TABLO-1'!K4:K32873,"=Bildirimli",'[7]TABLO-1'!I4:I32873,"=Uzun",'[7]TABLO-1'!D4:D32873,"=PEHLİVANKÖY")/P8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İşletmecisi",'[7]TABLO-1'!K4:K32873,"=bildirimli",'[7]TABLO-1'!I4:I32873,"=Uzun",'[7]TABLO-1'!D4:D32873,"=PEHLİVANKÖY")/P14</f>
        <v>5.8038305281485781E-4</v>
      </c>
      <c r="L49" s="10">
        <f t="shared" si="17"/>
        <v>5.6721497447532619E-4</v>
      </c>
      <c r="M49" s="11">
        <f t="shared" si="18"/>
        <v>5.4992764109985529E-3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SUMIFS('[7]TABLO-1'!O4:O32873,'[7]TABLO-1'!H4:H32873,"=Dağıtım-AG",'[7]TABLO-1'!J4:J32873,"=Güvenlik",'[7]TABLO-1'!K4:K32873,"=Bildirimli",'[7]TABLO-1'!I4:I32873,"=Uzun",'[7]TABLO-1'!D4:D32873,"=PEHLİVANKÖY")/P6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SUMIFS('[7]TABLO-1'!P4:P32873,'[7]TABLO-1'!H4:H32873,"=Dağıtım-AG",'[7]TABLO-1'!J4:J32873,"=Güvenlik",'[7]TABLO-1'!K4:K32873,"=Bildirimli",'[7]TABLO-1'!I4:I32873,"=Uzun",'[7]TABLO-1'!D4:D32873,"=PEHLİVANKÖY")/P12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SUMIFS('[7]TABLO-1'!Q4:Q32873,'[7]TABLO-1'!H4:H32873,"=Dağıtım-AG",'[7]TABLO-1'!J4:J32873,"=Güvenlik",'[7]TABLO-1'!K4:K32873,"=Bildirimli",'[7]TABLO-1'!I4:I32873,"=Uzun",'[7]TABLO-1'!D4:D32873,"=PEHLİVANKÖY")/P7</f>
        <v>0</v>
      </c>
      <c r="H50" s="10">
        <f>SUMIFS('[7]TABLO-1'!R4:R32873,'[7]TABLO-1'!H4:H32873,"=Dağıtım-AG",'[7]TABLO-1'!J4:J32873,"=Güvenlik",'[7]TABLO-1'!K4:K32873,"=Bildirimli",'[7]TABLO-1'!I4:I32873,"=Uzun",'[7]TABLO-1'!D4:D32873,"=PEHLİVANKÖY")/P13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SUMIFS('[7]TABLO-1'!S4:S32873,'[7]TABLO-1'!H4:H32873,"=Dağıtım-AG",'[7]TABLO-1'!J4:J32873,"=Güvenlik",'[7]TABLO-1'!K4:K32873,"=Bildirimli",'[7]TABLO-1'!I4:I32873,"=Uzun",'[7]TABLO-1'!D4:D32873,"=PEHLİVANKÖY")/P8</f>
        <v>0</v>
      </c>
      <c r="K50" s="10">
        <f>SUMIFS('[7]TABLO-1'!T4:T32873,'[7]TABLO-1'!H4:H32873,"=Dağıtım-AG",'[7]TABLO-1'!J4:J32873,"=Güvenlik",'[7]TABLO-1'!K4:K32873,"=bildirimli",'[7]TABLO-1'!I4:I32873,"=Uzun",'[7]TABLO-1'!D4:D32873,"=PEHLİVANKÖY")/P14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0.5</v>
      </c>
      <c r="H51" s="10">
        <f t="shared" si="19"/>
        <v>0.93416370106761559</v>
      </c>
      <c r="I51" s="10">
        <f t="shared" si="19"/>
        <v>0.93262411347517726</v>
      </c>
      <c r="J51" s="10">
        <f t="shared" si="19"/>
        <v>0.4</v>
      </c>
      <c r="K51" s="10">
        <f t="shared" si="19"/>
        <v>0.51363900174114918</v>
      </c>
      <c r="L51" s="10">
        <f t="shared" si="19"/>
        <v>0.51106069200226889</v>
      </c>
      <c r="M51" s="10">
        <f t="shared" si="19"/>
        <v>0.71751085383502167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SUMIFS('[7]TABLO-1'!O1:O32873,'[7]TABLO-1'!H1:H32873,"=İletim",'[7]TABLO-1'!K1:K32873,"=Bildirimsiz",'[7]TABLO-1'!I1:I32873,"=Kısa",'[7]TABLO-1'!D1:D32873,"=PEHLİVANKÖY")/P6</f>
        <v>#DIV/0!</v>
      </c>
      <c r="D56" s="10" t="e">
        <f>SUMIFS('[7]TABLO-1'!P1:P32873,'[7]TABLO-1'!H1:H32873,"=İletim",'[7]TABLO-1'!K1:K32873,"=Bildirimsiz",'[7]TABLO-1'!I1:I32873,"=Kısa",'[7]TABLO-1'!D1:D32873,"=PEHLİVANKÖY")/P12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SUMIFS('[7]TABLO-1'!Q1:Q32873,'[7]TABLO-1'!H1:H32873,"=İletim",'[7]TABLO-1'!K1:K32873,"=Bildirimsiz",'[7]TABLO-1'!I1:I32873,"=Kısa",'[7]TABLO-1'!D1:D32873,"=PEHLİVANKÖY")/P7</f>
        <v>0</v>
      </c>
      <c r="G56" s="10">
        <f>SUMIFS('[7]TABLO-1'!R1:R32873,'[7]TABLO-1'!H1:H32873,"=İletim",'[7]TABLO-1'!K1:K32873,"=Bildirimsiz",'[7]TABLO-1'!I1:I32873,"=Kısa",'[7]TABLO-1'!D1:D32873,"=PEHLİVANKÖY")/P13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SUMIFS('[7]TABLO-1'!S1:S32873,'[7]TABLO-1'!H1:H32873,"=İletim",'[7]TABLO-1'!K1:K32873,"=Bildirimsiz",'[7]TABLO-1'!I1:I32873,"=Kısa",'[7]TABLO-1'!D1:D32873,"=PEHLİVANKÖY")/P8</f>
        <v>0</v>
      </c>
      <c r="J56" s="10">
        <f>SUMIFS('[7]TABLO-1'!T1:T32873,'[7]TABLO-1'!H1:H32873,"=İletim",'[7]TABLO-1'!K1:K32873,"=Bildirimsiz",'[7]TABLO-1'!I1:I32873,"=Kısa",'[7]TABLO-1'!D1:D32873,"=PEHLİVANKÖY")/P14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SUMIFS('[7]TABLO-1'!O4:O32873,'[7]TABLO-1'!H4:H32873,"=Dağıtım-OG",'[7]TABLO-1'!K4:K32873,"=Bildirimsiz",'[7]TABLO-1'!I4:I32873,"=Kısa",'[7]TABLO-1'!D4:D32873,"=PEHLİVANKÖY")/P6</f>
        <v>#DIV/0!</v>
      </c>
      <c r="D57" s="10" t="e">
        <f>SUMIFS('[7]TABLO-1'!P4:P32873,'[7]TABLO-1'!H4:H32873,"=Dağıtım-OG",'[7]TABLO-1'!K4:K32873,"=Bildirimsiz",'[7]TABLO-1'!I4:I32873,"=Kısa",'[7]TABLO-1'!D4:D32873,"=PEHLİVANKÖY")/P12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SUMIFS('[7]TABLO-1'!Q4:Q32873,'[7]TABLO-1'!H4:H32873,"=Dağıtım-OG",'[7]TABLO-1'!K4:K32873,"=Bildirimsiz",'[7]TABLO-1'!I4:I32873,"=Kısa",'[7]TABLO-1'!D4:D32873,"=PEHLİVANKÖY")/P7</f>
        <v>0.16666666666666666</v>
      </c>
      <c r="G57" s="10">
        <f>SUMIFS('[7]TABLO-1'!R4:R32873,'[7]TABLO-1'!H4:H32873,"=Dağıtım-OG",'[7]TABLO-1'!K4:K32873,"=Bildirimsiz",'[7]TABLO-1'!I4:I32873,"=Kısa",'[7]TABLO-1'!D4:D32873,"=PEHLİVANKÖY")/P13</f>
        <v>4.3297746144721233E-2</v>
      </c>
      <c r="H57" s="10">
        <f>IFERROR((((F57*$P$7)+(G57*$P$13))/$P$20),"0,00")</f>
        <v>4.3735224586288417E-2</v>
      </c>
      <c r="I57" s="10">
        <f>SUMIFS('[7]TABLO-1'!S4:S32873,'[7]TABLO-1'!H4:H32873,"=Dağıtım-OG",'[7]TABLO-1'!K4:K32873,"=Bildirimsiz",'[7]TABLO-1'!I4:I32873,"=Kısa",'[7]TABLO-1'!D4:D32873,"=PEHLİVANKÖY")/P8</f>
        <v>2.5000000000000001E-2</v>
      </c>
      <c r="J57" s="10">
        <f>SUMIFS('[7]TABLO-1'!T4:T32873,'[7]TABLO-1'!H4:H32873,"=Dağıtım-OG",'[7]TABLO-1'!K4:K32873,"=Bildirimsiz",'[7]TABLO-1'!I4:I32873,"=Kısa",'[7]TABLO-1'!D4:D32873,"=PEHLİVANKÖY")/P14</f>
        <v>0.1485780615206036</v>
      </c>
      <c r="K57" s="10">
        <f>IFERROR((((I57*$P$8)+(J57*$P$14))/$P$23),"0,00")</f>
        <v>0.14577424844015882</v>
      </c>
      <c r="L57" s="11">
        <f>IFERROR((((E57*$P$17)+(H57*$P$20)+(K57*$P$23))/$P$26),"0,00")</f>
        <v>9.5803183791606364E-2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SUMIFS('[7]TABLO-1'!O4:O32873,'[7]TABLO-1'!H4:H32873,"=Dağıtım-AG",'[7]TABLO-1'!K4:K32873,"=Bildirimsiz",'[7]TABLO-1'!I4:I32873,"=Kısa",'[7]TABLO-1'!D4:D32873,"=PEHLİVANKÖY")/P6</f>
        <v>#DIV/0!</v>
      </c>
      <c r="D58" s="10" t="e">
        <f>SUMIFS('[7]TABLO-1'!P4:P32873,'[7]TABLO-1'!H4:H32873,"=Dağıtım-AG",'[7]TABLO-1'!K4:K32873,"=Bildirimsiz",'[7]TABLO-1'!I4:I32873,"=Kısa",'[7]TABLO-1'!D4:D32873,"=PEHLİVANKÖY")/P12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SUMIFS('[7]TABLO-1'!Q4:Q32873,'[7]TABLO-1'!H4:H32873,"=Dağıtım-AG",'[7]TABLO-1'!K4:K32873,"=Bildirimsiz",'[7]TABLO-1'!I4:I32873,"=Kısa",'[7]TABLO-1'!D4:D32873,"=PEHLİVANKÖY")/P7</f>
        <v>0</v>
      </c>
      <c r="G58" s="10">
        <f>SUMIFS('[7]TABLO-1'!R4:R32873,'[7]TABLO-1'!H4:H32873,"=Dağıtım-AG",'[7]TABLO-1'!K4:K32873,"=Bildirimsiz",'[7]TABLO-1'!I4:I32873,"=Kısa",'[7]TABLO-1'!D4:D32873,"=PEHLİVANKÖY")/P13</f>
        <v>1.542111506524318E-2</v>
      </c>
      <c r="H58" s="10">
        <f>IFERROR((((F58*$P$7)+(G58*$P$13))/$P$20),"0,00")</f>
        <v>1.5366430260047281E-2</v>
      </c>
      <c r="I58" s="10">
        <f>SUMIFS('[7]TABLO-1'!S4:S32873,'[7]TABLO-1'!H4:H32873,"=Dağıtım-AG",'[7]TABLO-1'!K4:K32873,"=Bildirimsiz",'[7]TABLO-1'!I4:I32873,"=Kısa",'[7]TABLO-1'!D4:D32873,"=PEHLİVANKÖY")/P8</f>
        <v>0</v>
      </c>
      <c r="J58" s="10">
        <f>SUMIFS('[7]TABLO-1'!T4:T32873,'[7]TABLO-1'!H4:H32873,"=Dağıtım-AG",'[7]TABLO-1'!K4:K32873,"=Bildirimsiz",'[7]TABLO-1'!I4:I32873,"=Kısa",'[7]TABLO-1'!D4:D32873,"=PEHLİVANKÖY")/P14</f>
        <v>0</v>
      </c>
      <c r="K58" s="10">
        <f>IFERROR((((I58*$P$8)+(J58*$P$14))/$P$23),"0,00")</f>
        <v>0</v>
      </c>
      <c r="L58" s="11">
        <f>IFERROR((((E58*$P$17)+(H58*$P$20)+(K58*$P$23))/$P$26),"0,00")</f>
        <v>7.5253256150506513E-3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0.16666666666666666</v>
      </c>
      <c r="G59" s="10">
        <f t="shared" si="20"/>
        <v>5.8718861209964411E-2</v>
      </c>
      <c r="H59" s="10">
        <f t="shared" si="20"/>
        <v>5.9101654846335699E-2</v>
      </c>
      <c r="I59" s="10">
        <f t="shared" si="20"/>
        <v>2.5000000000000001E-2</v>
      </c>
      <c r="J59" s="10">
        <f t="shared" si="20"/>
        <v>0.1485780615206036</v>
      </c>
      <c r="K59" s="10">
        <f t="shared" si="20"/>
        <v>0.14577424844015882</v>
      </c>
      <c r="L59" s="10">
        <f t="shared" si="20"/>
        <v>0.10332850940665701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6</v>
      </c>
      <c r="G65" s="27">
        <f>P13</f>
        <v>1686</v>
      </c>
      <c r="H65" s="17">
        <f>SUM(F65:G65)</f>
        <v>1692</v>
      </c>
      <c r="I65" s="17">
        <f>P8</f>
        <v>40</v>
      </c>
      <c r="J65" s="27">
        <f>P14</f>
        <v>1723</v>
      </c>
      <c r="K65" s="17">
        <f>SUM(I65:J65)</f>
        <v>1763</v>
      </c>
      <c r="L65" s="17">
        <f>H65+E65+K65</f>
        <v>3455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İşletmecisi",'[7]TABLO-1'!K4:K32873,"=Bildirimsiz",'[7]TABLO-1'!I4:I32873,"=Uzun",'[7]TABLO-1'!D4:D32873,"=LÜLEBURGAZ")/P6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İşletmecisi",'[7]TABLO-1'!K4:K32873,"=Bildirimsiz",'[7]TABLO-1'!I4:I32873,"=Uzun",'[7]TABLO-1'!D4:D32873,"=LÜLEBURGAZ")/P12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İşletmecisi",'[7]TABLO-1'!K4:K32873,"=Bildirimsiz",'[7]TABLO-1'!I4:I32873,"=Uzun",'[7]TABLO-1'!D4:D32873,"=LÜLEBURGAZ")/P7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İşletmecisi",'[7]TABLO-1'!K4:K32873,"=Bildirimsiz",'[7]TABLO-1'!I4:I32873,"=Uzun",'[7]TABLO-1'!D4:D32873,"=LÜLEBURGAZ")/P13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İşletmecisi",'[7]TABLO-1'!K4:K32873,"=Bildirimsiz",'[7]TABLO-1'!I4:I32873,"=Uzun",'[7]TABLO-1'!D4:D32873,"=LÜLEBURGAZ")/P8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İşletmecisi",'[7]TABLO-1'!K4:K32873,"=Bildirimsiz",'[7]TABLO-1'!I4:I32873,"=Uzun",'[7]TABLO-1'!D4:D32873,"=LÜLEBURGAZ")/P14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375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Sebep",'[7]TABLO-1'!K4:K32873,"=Bildirimsiz",'[7]TABLO-1'!I4:I32873,"=Uzun",'[7]TABLO-1'!D4:D32873,"=LÜLEBURGAZ")/P6</f>
        <v>0</v>
      </c>
      <c r="E7" s="10">
        <f>SUMIFS('[7]TABLO-1'!V4:V32873,'[7]TABLO-1'!H4:H32873,"=İletim",'[7]TABLO-1'!J4:J32873,"=Mücbir Sebep",'[7]TABLO-1'!K4:K32873,"=Bildirimsiz",'[7]TABLO-1'!I4:I32873,"=Uzun",'[7]TABLO-1'!D4:D32873,"=LÜLEBURGAZ")/P12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Sebep",'[7]TABLO-1'!K4:K32873,"=Bildirimsiz",'[7]TABLO-1'!I4:I32873,"=Uzun",'[7]TABLO-1'!D4:D32873,"=LÜLEBURGAZ")/P7</f>
        <v>0</v>
      </c>
      <c r="H7" s="10">
        <f>SUMIFS('[7]TABLO-1'!X4:X32873,'[7]TABLO-1'!H4:H32873,"=İletim",'[7]TABLO-1'!J4:J32873,"=Mücbir Sebep",'[7]TABLO-1'!K4:K32873,"=Bildirimsiz",'[7]TABLO-1'!I4:I32873,"=Uzun",'[7]TABLO-1'!D4:D32873,"=LÜLEBURGAZ")/P13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Sebep",'[7]TABLO-1'!K4:K32873,"=Bildirimsiz",'[7]TABLO-1'!I4:I32873,"=Uzun",'[7]TABLO-1'!D4:D32873,"=LÜLEBURGAZ")/P8</f>
        <v>0</v>
      </c>
      <c r="K7" s="10">
        <f>SUMIFS('[7]TABLO-1'!Z4:Z32873,'[7]TABLO-1'!H4:H32873,"=İletim",'[7]TABLO-1'!J4:J32873,"=Mücbir Sebep",'[7]TABLO-1'!K4:K32873,"=Bildirimsiz",'[7]TABLO-1'!I4:I32873,"=Uzun",'[7]TABLO-1'!D4:D32873,"=LÜLEBURGAZ")/P14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148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İşletmecisi",'[7]TABLO-1'!K4:K32873,"=Bildirimsiz",'[7]TABLO-1'!I4:I32873,"=Uzun",'[7]TABLO-1'!D4:D32873,"=LÜLEBURGAZ")/P6</f>
        <v>37.292266665352507</v>
      </c>
      <c r="E8" s="10">
        <f>SUMIFS('[7]TABLO-1'!V4:V32873,'[7]TABLO-1'!H4:H32873,"=Dağıtım-OG",'[7]TABLO-1'!J4:J32873,"=Şebeke İşletmecisi",'[7]TABLO-1'!K4:K32873,"=Bildirimsiz",'[7]TABLO-1'!I4:I32873,"=Uzun",'[7]TABLO-1'!D4:D32873,"=LÜLEBURGAZ")/P12</f>
        <v>10.082784142204012</v>
      </c>
      <c r="F8" s="10">
        <f t="shared" si="0"/>
        <v>10.220899603662662</v>
      </c>
      <c r="G8" s="10">
        <f>SUMIFS('[7]TABLO-1'!W4:W32873,'[7]TABLO-1'!H4:H32873,"=Dağıtım-OG",'[7]TABLO-1'!J4:J32873,"=Şebeke İşletmecisi",'[7]TABLO-1'!K4:K32873,"=Bildirimsiz",'[7]TABLO-1'!I4:I32873,"=Uzun",'[7]TABLO-1'!D4:D32873,"=LÜLEBURGAZ")/P7</f>
        <v>2.6992117119890109</v>
      </c>
      <c r="H8" s="10">
        <f>SUMIFS('[7]TABLO-1'!X4:X32873,'[7]TABLO-1'!H4:H32873,"=Dağıtım-OG",'[7]TABLO-1'!J4:J32873,"=Şebeke İşletmecisi",'[7]TABLO-1'!K4:K32873,"=Bildirimsiz",'[7]TABLO-1'!I4:I32873,"=Uzun",'[7]TABLO-1'!D4:D32873,"=LÜLEBURGAZ")/P13</f>
        <v>3.8036561697875451</v>
      </c>
      <c r="I8" s="10">
        <f t="shared" si="1"/>
        <v>3.7824444153424133</v>
      </c>
      <c r="J8" s="10">
        <f>SUMIFS('[7]TABLO-1'!Y4:Y32873,'[7]TABLO-1'!H4:H32873,"=Dağıtım-OG",'[7]TABLO-1'!J4:J32873,"=Şebeke İşletmecisi",'[7]TABLO-1'!K4:K32873,"=Bildirimsiz",'[7]TABLO-1'!I4:I32873,"=Uzun",'[7]TABLO-1'!D4:D32873,"=LÜLEBURGAZ")/P8</f>
        <v>43.583733625755762</v>
      </c>
      <c r="K8" s="10">
        <f>SUMIFS('[7]TABLO-1'!Z4:Z32873,'[7]TABLO-1'!H4:H32873,"=Dağıtım-OG",'[7]TABLO-1'!J4:J32873,"=Şebeke İşletmecisi",'[7]TABLO-1'!K4:K32873,"=Bildirimsiz",'[7]TABLO-1'!I4:I32873,"=Uzun",'[7]TABLO-1'!D4:D32873,"=LÜLEBURGAZ")/P14</f>
        <v>41.859418738006916</v>
      </c>
      <c r="L8" s="10">
        <f t="shared" si="2"/>
        <v>41.917874416658954</v>
      </c>
      <c r="M8" s="11">
        <f t="shared" si="3"/>
        <v>14.202385034161059</v>
      </c>
      <c r="O8" s="20" t="s">
        <v>36</v>
      </c>
      <c r="P8" s="53">
        <v>458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SUMIFS('[7]TABLO-1'!U4:U32873,'[7]TABLO-1'!H4:H32873,"=Dağıtım-OG",'[7]TABLO-1'!J4:J32873,"=Dışsal",'[7]TABLO-1'!K4:K32873,"=Bildirimsiz",'[7]TABLO-1'!I4:I32873,"=Uzun",'[7]TABLO-1'!D4:D32873,"=LÜLEBURGAZ")/P6</f>
        <v>0</v>
      </c>
      <c r="E9" s="10">
        <f>SUMIFS('[7]TABLO-1'!V4:V32873,'[7]TABLO-1'!H4:H32873,"=Dağıtım-OG",'[7]TABLO-1'!J4:J32873,"=Dışsal",'[7]TABLO-1'!K4:K32873,"=Bildirimsiz",'[7]TABLO-1'!I4:I32873,"=Uzun",'[7]TABLO-1'!D4:D32873,"=LÜLEBURGAZ")/P12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SUMIFS('[7]TABLO-1'!W4:W32873,'[7]TABLO-1'!H4:H32873,"=Dağıtım-OG",'[7]TABLO-1'!J4:J32873,"=Dışsal",'[7]TABLO-1'!K4:K32873,"=Bildirimsiz",'[7]TABLO-1'!I4:I32873,"=Uzun",'[7]TABLO-1'!D4:D32873,"=LÜLEBURGAZ")/P7</f>
        <v>2.1756756756882609</v>
      </c>
      <c r="H9" s="10">
        <f>SUMIFS('[7]TABLO-1'!X4:X32873,'[7]TABLO-1'!H4:H32873,"=Dağıtım-OG",'[7]TABLO-1'!J4:J32873,"=Dışsal",'[7]TABLO-1'!K4:K32873,"=Bildirimsiz",'[7]TABLO-1'!I4:I32873,"=Uzun",'[7]TABLO-1'!D4:D32873,"=LÜLEBURGAZ")/P13</f>
        <v>0</v>
      </c>
      <c r="I9" s="10">
        <f t="shared" si="1"/>
        <v>4.1785621593805174E-2</v>
      </c>
      <c r="J9" s="10">
        <f>SUMIFS('[7]TABLO-1'!Y4:Y32873,'[7]TABLO-1'!H4:H32873,"=Dağıtım-OG",'[7]TABLO-1'!J4:J32873,"=Dışsal",'[7]TABLO-1'!K4:K32873,"=Bildirimsiz",'[7]TABLO-1'!I4:I32873,"=Uzun",'[7]TABLO-1'!D4:D32873,"=LÜLEBURGAZ")/P8</f>
        <v>0</v>
      </c>
      <c r="K9" s="10">
        <f>SUMIFS('[7]TABLO-1'!Z4:Z32873,'[7]TABLO-1'!H4:H32873,"=Dağıtım-OG",'[7]TABLO-1'!J4:J32873,"=Dışsal",'[7]TABLO-1'!K4:K32873,"=Bildirimsiz",'[7]TABLO-1'!I4:I32873,"=Uzun",'[7]TABLO-1'!D4:D32873,"=LÜLEBURGAZ")/P14</f>
        <v>0</v>
      </c>
      <c r="L9" s="10">
        <f t="shared" si="2"/>
        <v>0</v>
      </c>
      <c r="M9" s="11">
        <f t="shared" si="3"/>
        <v>3.3861588129711195E-3</v>
      </c>
      <c r="O9" s="20" t="s">
        <v>17</v>
      </c>
      <c r="P9" s="53">
        <f>P6+P7+P8</f>
        <v>981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Sebep",'[7]TABLO-1'!K4:K32873,"=Bildirimsiz",'[7]TABLO-1'!I4:I32873,"=Uzun",'[7]TABLO-1'!D4:D32873,"=LÜLEBURGAZ")/P6</f>
        <v>0</v>
      </c>
      <c r="E10" s="10">
        <f>SUMIFS('[7]TABLO-1'!V4:V32873,'[7]TABLO-1'!H4:H32873,"=Dağıtım-OG",'[7]TABLO-1'!J4:J32873,"=Mücbir Sebep",'[7]TABLO-1'!K4:K32873,"=Bildirimsiz",'[7]TABLO-1'!I4:I32873,"=Uzun",'[7]TABLO-1'!D4:D32873,"=LÜLEBURGAZ")/P12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Sebep",'[7]TABLO-1'!K4:K32873,"=Bildirimsiz",'[7]TABLO-1'!I4:I32873,"=Uzun",'[7]TABLO-1'!D4:D32873,"=LÜLEBURGAZ")/P7</f>
        <v>0</v>
      </c>
      <c r="H10" s="10">
        <f>SUMIFS('[7]TABLO-1'!X4:X32873,'[7]TABLO-1'!H4:H32873,"=Dağıtım-OG",'[7]TABLO-1'!J4:J32873,"=Mücbir Sebep",'[7]TABLO-1'!K4:K32873,"=Bildirimsiz",'[7]TABLO-1'!I4:I32873,"=Uzun",'[7]TABLO-1'!D4:D32873,"=LÜLEBURGAZ")/P13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Sebep",'[7]TABLO-1'!K4:K32873,"=Bildirimsiz",'[7]TABLO-1'!I4:I32873,"=Uzun",'[7]TABLO-1'!D4:D32873,"=LÜLEBURGAZ")/P8</f>
        <v>0</v>
      </c>
      <c r="K10" s="10">
        <f>SUMIFS('[7]TABLO-1'!Z4:Z32873,'[7]TABLO-1'!H4:H32873,"=Dağıtım-OG",'[7]TABLO-1'!J4:J32873,"=Mücbir Sebep",'[7]TABLO-1'!K4:K32873,"=Bildirimsiz",'[7]TABLO-1'!I4:I32873,"=Uzun",'[7]TABLO-1'!D4:D32873,"=LÜLEBURGAZ")/P14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SUMIFS('[7]TABLO-1'!U4:U32873,'[7]TABLO-1'!H4:H32873,"=Dağıtım-OG",'[7]TABLO-1'!J4:J32873,"=Güvenlik",'[7]TABLO-1'!K4:K32873,"=Bildirimsiz",'[7]TABLO-1'!I4:I32873,"=Uzun",'[7]TABLO-1'!D4:D32873,"=LÜLEBURGAZ")/P6</f>
        <v>0</v>
      </c>
      <c r="E11" s="10">
        <f>SUMIFS('[7]TABLO-1'!V4:V32873,'[7]TABLO-1'!H4:H32873,"=Dağıtım-OG",'[7]TABLO-1'!J4:J32873,"=Güvenlik",'[7]TABLO-1'!K4:K32873,"=Bildirimsiz",'[7]TABLO-1'!I4:I32873,"=Uzun",'[7]TABLO-1'!D4:D32873,"=LÜLEBURGAZ")/P12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SUMIFS('[7]TABLO-1'!W4:W32873,'[7]TABLO-1'!H4:H32873,"=Dağıtım-OG",'[7]TABLO-1'!J4:J32873,"=Güvenlik",'[7]TABLO-1'!K4:K32873,"=Bildirimsiz",'[7]TABLO-1'!I4:I32873,"=Uzun",'[7]TABLO-1'!D4:D32873,"=LÜLEBURGAZ")/P7</f>
        <v>0</v>
      </c>
      <c r="H11" s="10">
        <f>SUMIFS('[7]TABLO-1'!X4:X32873,'[7]TABLO-1'!H4:H32873,"=Dağıtım-OG",'[7]TABLO-1'!J4:J32873,"=Güvenlik",'[7]TABLO-1'!K4:K32873,"=Bildirimsiz",'[7]TABLO-1'!I4:I32873,"=Uzun",'[7]TABLO-1'!D4:D32873,"=LÜLEBURGAZ")/P13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SUMIFS('[7]TABLO-1'!Y4:Y32873,'[7]TABLO-1'!H4:H32873,"=Dağıtım-OG",'[7]TABLO-1'!J4:J32873,"=Güvenlik",'[7]TABLO-1'!K4:K32873,"=Bildirimsiz",'[7]TABLO-1'!I4:I32873,"=Uzun",'[7]TABLO-1'!D4:D32873,"=LÜLEBURGAZ")/P8</f>
        <v>0</v>
      </c>
      <c r="K11" s="10">
        <f>SUMIFS('[7]TABLO-1'!Z4:Z32873,'[7]TABLO-1'!H4:H32873,"=Dağıtım-OG",'[7]TABLO-1'!J4:J32873,"=Güvenlik",'[7]TABLO-1'!K4:K32873,"=Bildirimsiz",'[7]TABLO-1'!I4:I32873,"=Uzun",'[7]TABLO-1'!D4:D32873,"=LÜLEBURGAZ")/P14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İşletmecisi",'[7]TABLO-1'!K4:K32873,"=Bildirimsiz",'[7]TABLO-1'!I4:I32873,"=Uzun",'[7]TABLO-1'!D4:D32873,"=LÜLEBURGAZ")/P6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işletmecisi",'[7]TABLO-1'!K4:K32873,"=Bildirimsiz",'[7]TABLO-1'!I4:I32873,"=Uzun",'[7]TABLO-1'!D4:D32873,"=LÜLEBURGAZ")/P12</f>
        <v>2.0524373486075356</v>
      </c>
      <c r="F12" s="10">
        <f t="shared" si="0"/>
        <v>2.0420191669579313</v>
      </c>
      <c r="G12" s="12">
        <f>SUMIFS('[7]TABLO-1'!W4:W32873,'[7]TABLO-1'!H4:H32873,"=Dağıtım-AG",'[7]TABLO-1'!J4:J32873,"=Şebeke İşletmecisi",'[7]TABLO-1'!K4:K32873,"=Bildirimsiz",'[7]TABLO-1'!I4:I32873,"=Uzun",'[7]TABLO-1'!D4:D32873,"=LÜLEBURGAZ")/P7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İşletmecisi",'[7]TABLO-1'!K4:K32873,"=Bildirimsiz",'[7]TABLO-1'!I4:I32873,"=Uzun",'[7]TABLO-1'!D4:D32873,"=LÜLEBURGAZ")/P13</f>
        <v>5.072896268825354</v>
      </c>
      <c r="I12" s="10">
        <f t="shared" si="1"/>
        <v>4.9754671684118899</v>
      </c>
      <c r="J12" s="12">
        <f>SUMIFS('[7]TABLO-1'!Y4:Y32873,'[7]TABLO-1'!H4:H32873,"=Dağıtım-AG",'[7]TABLO-1'!J4:J32873,"=Şebeke İşletmecisi",'[7]TABLO-1'!K4:K32873,"=Bildirimsiz",'[7]TABLO-1'!I4:I32873,"=Uzun",'[7]TABLO-1'!D4:D32873,"=LÜLEBURGAZ")/P8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İşletmecisi",'[7]TABLO-1'!K4:K32873,"=Bildirimsiz",'[7]TABLO-1'!I4:I32873,"=Uzun",'[7]TABLO-1'!D4:D32873,"=LÜLEBURGAZ")/P14</f>
        <v>9.0941452138745476</v>
      </c>
      <c r="L12" s="10">
        <f t="shared" si="2"/>
        <v>8.7858462865648104</v>
      </c>
      <c r="M12" s="11">
        <f t="shared" si="3"/>
        <v>3.2378406752192452</v>
      </c>
      <c r="O12" s="6" t="s">
        <v>33</v>
      </c>
      <c r="P12" s="42">
        <v>73502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SUMIFS('[7]TABLO-1'!U4:U32873,'[7]TABLO-1'!H4:H32873,"=Dağıtım-AG",'[7]TABLO-1'!J4:J32873,"=Dışsal",'[7]TABLO-1'!K4:K32873,"=Bildirimsiz",'[7]TABLO-1'!I4:I32873,"=Uzun",'[7]TABLO-1'!D4:D32873,"=LÜLEBURGAZ")/P6</f>
        <v>0</v>
      </c>
      <c r="E13" s="10">
        <f>SUMIFS('[7]TABLO-1'!V4:V32873,'[7]TABLO-1'!H4:H32873,"=Dağıtım-AG",'[7]TABLO-1'!J4:J32873,"=Dışsal",'[7]TABLO-1'!K4:K32873,"=Bildirimsiz",'[7]TABLO-1'!I4:I32873,"=Uzun",'[7]TABLO-1'!D4:D32873,"=LÜLEBURGAZ")/P12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SUMIFS('[7]TABLO-1'!W4:W32873,'[7]TABLO-1'!H4:H32873,"=Dağıtım-AG",'[7]TABLO-1'!J4:J32873,"=Dışsal",'[7]TABLO-1'!K4:K32873,"=Bildirimsiz",'[7]TABLO-1'!I4:I32873,"=Uzun",'[7]TABLO-1'!D4:D32873,"=LÜLEBURGAZ")/P7</f>
        <v>0</v>
      </c>
      <c r="H13" s="10">
        <f>SUMIFS('[7]TABLO-1'!X4:X32873,'[7]TABLO-1'!H4:H32873,"=Dağıtım-AG",'[7]TABLO-1'!J4:J32873,"=Dışsal",'[7]TABLO-1'!K4:K32873,"=Bildirimsiz",'[7]TABLO-1'!I4:I32873,"=Uzun",'[7]TABLO-1'!D4:D32873,"=LÜLEBURGAZ")/P13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SUMIFS('[7]TABLO-1'!Y4:Y32873,'[7]TABLO-1'!H4:H32873,"=Dağıtım-AG",'[7]TABLO-1'!J4:J32873,"=Dışsal",'[7]TABLO-1'!K4:K32873,"=Bildirimsiz",'[7]TABLO-1'!I4:I32873,"=Uzun",'[7]TABLO-1'!D4:D32873,"=LÜLEBURGAZ")/P8</f>
        <v>0</v>
      </c>
      <c r="K13" s="10">
        <f>SUMIFS('[7]TABLO-1'!Z4:Z32873,'[7]TABLO-1'!H4:H32873,"=Dağıtım-AG",'[7]TABLO-1'!J4:J32873,"=Dışsal",'[7]TABLO-1'!K4:K32873,"=Bildirimsiz",'[7]TABLO-1'!I4:I32873,"=Uzun",'[7]TABLO-1'!D4:D32873,"=LÜLEBURGAZ")/P14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7558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Sebep",'[7]TABLO-1'!K4:K32873,"=Bildirimsiz",'[7]TABLO-1'!I4:I32873,"=Uzun",'[7]TABLO-1'!D4:D32873,"=LÜLEBURGAZ")/P6</f>
        <v>0</v>
      </c>
      <c r="E14" s="10">
        <f>SUMIFS('[7]TABLO-1'!V4:V32873,'[7]TABLO-1'!H4:H32873,"=Dağıtım-AG",'[7]TABLO-1'!J4:J32873,"=Mücbir Sebep",'[7]TABLO-1'!K4:K32873,"=Bildirimsiz",'[7]TABLO-1'!I4:I32873,"=Uzun",'[7]TABLO-1'!D4:D32873,"=LÜLEBURGAZ")/P12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Sebep",'[7]TABLO-1'!K4:K32873,"=Bildirimsiz",'[7]TABLO-1'!I4:I32873,"=Uzun",'[7]TABLO-1'!D4:D32873,"=LÜLEBURGAZ")/P7</f>
        <v>0</v>
      </c>
      <c r="H14" s="10">
        <f>SUMIFS('[7]TABLO-1'!X4:X32873,'[7]TABLO-1'!H4:H32873,"=Dağıtım-AG",'[7]TABLO-1'!J4:J32873,"=Mücbir Sebep",'[7]TABLO-1'!K4:K32873,"=Bildirimsiz",'[7]TABLO-1'!I4:I32873,"=Uzun",'[7]TABLO-1'!D4:D32873,"=LÜLEBURGAZ")/P13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Sebep",'[7]TABLO-1'!K4:K32873,"=Bildirimsiz",'[7]TABLO-1'!I4:I32873,"=Uzun",'[7]TABLO-1'!D4:D32873,"=LÜLEBURGAZ")/P8</f>
        <v>0</v>
      </c>
      <c r="K14" s="10">
        <f>SUMIFS('[7]TABLO-1'!Z4:Z32873,'[7]TABLO-1'!H4:H32873,"=Dağıtım-AG",'[7]TABLO-1'!J4:J32873,"=Mücbir Sebep",'[7]TABLO-1'!K4:K32873,"=Bildirimsiz",'[7]TABLO-1'!I4:I32873,"=Uzun",'[7]TABLO-1'!D4:D32873,"=LÜLEBURGAZ")/P14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13052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SUMIFS('[7]TABLO-1'!U4:U32873,'[7]TABLO-1'!H4:H32873,"=Dağıtım-AG",'[7]TABLO-1'!J4:J32873,"=Güvenlik",'[7]TABLO-1'!K4:K32873,"=Bildirimsiz",'[7]TABLO-1'!I4:I32873,"=Uzun",'[7]TABLO-1'!D4:D32873,"=LÜLEBURGAZ")/P6</f>
        <v>0</v>
      </c>
      <c r="E15" s="10">
        <f>SUMIFS('[7]TABLO-1'!V4:V32873,'[7]TABLO-1'!H4:H32873,"=Dağıtım-AG",'[7]TABLO-1'!J4:J32873,"=Güvenlik",'[7]TABLO-1'!K4:K32873,"=Bildirimsiz",'[7]TABLO-1'!I4:I32873,"=Uzun",'[7]TABLO-1'!D4:D32873,"=LÜLEBURGAZ")/P12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SUMIFS('[7]TABLO-1'!W4:W32873,'[7]TABLO-1'!H4:H32873,"=Dağıtım-AG",'[7]TABLO-1'!J4:J32873,"=Güvenlik",'[7]TABLO-1'!K4:K32873,"=Bildirimsiz",'[7]TABLO-1'!I4:I32873,"=Uzun",'[7]TABLO-1'!D4:D32873,"=LÜLEBURGAZ")/P7</f>
        <v>0</v>
      </c>
      <c r="H15" s="10">
        <f>SUMIFS('[7]TABLO-1'!X4:X32873,'[7]TABLO-1'!H4:H32873,"=Dağıtım-AG",'[7]TABLO-1'!J4:J32873,"=Güvenlik",'[7]TABLO-1'!K4:K32873,"=Bildirimsiz",'[7]TABLO-1'!I4:I32873,"=Uzun",'[7]TABLO-1'!D4:D32873,"=LÜLEBURGAZ")/P13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SUMIFS('[7]TABLO-1'!Y4:Y32873,'[7]TABLO-1'!H4:H32873,"=Dağıtım-AG",'[7]TABLO-1'!J4:J32873,"=Güvenlik",'[7]TABLO-1'!K4:K32873,"=Bildirimsiz",'[7]TABLO-1'!I4:I32873,"=Uzun",'[7]TABLO-1'!D4:D32873,"=LÜLEBURGAZ")/P8</f>
        <v>0</v>
      </c>
      <c r="K15" s="10">
        <f>SUMIFS('[7]TABLO-1'!Z4:Z32873,'[7]TABLO-1'!H4:H32873,"=Dağıtım-AG",'[7]TABLO-1'!J4:J32873,"=Güvenlik",'[7]TABLO-1'!K4:K32873,"=Bildirimsiz",'[7]TABLO-1'!I4:I32873,"=Uzun",'[7]TABLO-1'!D4:D32873,"=LÜLEBURGAZ")/P14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94112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37.292266665352507</v>
      </c>
      <c r="E16" s="10">
        <f t="shared" si="4"/>
        <v>12.135221490811547</v>
      </c>
      <c r="F16" s="10">
        <f t="shared" si="4"/>
        <v>12.262918770620594</v>
      </c>
      <c r="G16" s="10">
        <f t="shared" si="4"/>
        <v>4.8748873876772718</v>
      </c>
      <c r="H16" s="10">
        <f t="shared" si="4"/>
        <v>8.8765524386128991</v>
      </c>
      <c r="I16" s="10">
        <f t="shared" si="4"/>
        <v>8.7996972053481084</v>
      </c>
      <c r="J16" s="10">
        <f>SUM(J6:J15)</f>
        <v>43.583733625755762</v>
      </c>
      <c r="K16" s="10">
        <f>SUM(K6:K15)</f>
        <v>50.953563951881463</v>
      </c>
      <c r="L16" s="10">
        <f>SUM(L6:L15)</f>
        <v>50.703720703223766</v>
      </c>
      <c r="M16" s="11">
        <f t="shared" si="4"/>
        <v>17.443611868193276</v>
      </c>
    </row>
    <row r="17" spans="2:16" ht="15" customHeight="1" x14ac:dyDescent="0.25">
      <c r="B17" s="29"/>
      <c r="O17" s="50" t="s">
        <v>37</v>
      </c>
      <c r="P17" s="47">
        <f>P6+P12</f>
        <v>73877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7706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İşletmecisi",'[7]TABLO-1'!K4:K32873,"=Bildirimli",'[7]TABLO-1'!I4:I32873,"=Uzun",'[7]TABLO-1'!D4:D32873,"=LÜLEBURGAZ")/P6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İşletmecisi",'[7]TABLO-1'!K4:K32873,"=Bildirimli",'[7]TABLO-1'!I4:I32873,"=Uzun",'[7]TABLO-1'!D4:D32873,"=LÜLEBURGAZ")/P12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İşletmecisi",'[7]TABLO-1'!K4:K32873,"=Bildirimli",'[7]TABLO-1'!I4:I32873,"=Uzun",'[7]TABLO-1'!D4:D32873,"=LÜLEBURGAZ")/P7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İşletmecisi",'[7]TABLO-1'!K4:K32873,"=Bildirimli",'[7]TABLO-1'!I4:I32873,"=Uzun",'[7]TABLO-1'!D4:D32873,"=LÜLEBURGAZ")/P13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İşletmecisi",'[7]TABLO-1'!K4:K32873,"=Bildirimli",'[7]TABLO-1'!I4:I32873,"=Uzun",'[7]TABLO-1'!D4:D32873,"=LÜLEBURGAZ")/P8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İşletmecisi",'[7]TABLO-1'!K4:K32873,"=Bildirimli",'[7]TABLO-1'!I4:I32873,"=Uzun",'[7]TABLO-1'!D4:D32873,"=LÜLEBURGAZ")/P14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İşletmecisi",'[7]TABLO-1'!K4:K32873,"=Bildirimli",'[7]TABLO-1'!I4:I32873,"=Uzun",'[7]TABLO-1'!D4:D32873,"=LÜLEBURGAZ")/P6</f>
        <v>5.1491555555630475</v>
      </c>
      <c r="E22" s="10">
        <f>SUMIFS('[7]TABLO-1'!V4:V32873,'[7]TABLO-1'!H4:H32873,"=Dağıtım-OG",'[7]TABLO-1'!J4:J32873,"=Şebeke İşletmecisi",'[7]TABLO-1'!K4:K32873,"=Bildirimli",'[7]TABLO-1'!I4:I32873,"=Uzun",'[7]TABLO-1'!D4:D32873,"=LÜLEBURGAZ")/P12</f>
        <v>4.6038203042175187E-2</v>
      </c>
      <c r="F22" s="10">
        <f t="shared" ref="F22:F25" si="5">IFERROR((((D22*$P$6)+(E22*$P$12))/$P$17),"0,00")</f>
        <v>7.1941650761970621E-2</v>
      </c>
      <c r="G22" s="10">
        <f>SUMIFS('[7]TABLO-1'!W4:W32873,'[7]TABLO-1'!H4:H32873,"=Dağıtım-OG",'[7]TABLO-1'!J4:J32873,"=Şebeke İşletmecisi",'[7]TABLO-1'!K4:K32873,"=Bildirimli",'[7]TABLO-1'!I4:I32873,"=Uzun",'[7]TABLO-1'!D4:D32873,"=LÜLEBURGAZ")/P7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İşletmecisi",'[7]TABLO-1'!K4:K32873,"=Bildirimli",'[7]TABLO-1'!I4:I32873,"=Uzun",'[7]TABLO-1'!D4:D32873,"=LÜLEBURGAZ")/P13</f>
        <v>16.640418541089556</v>
      </c>
      <c r="I22" s="10">
        <f t="shared" ref="I22:I25" si="6">IFERROR((((G22*$P$7)+(H22*$P$13))/$P$20),"0,00")</f>
        <v>16.320825763503098</v>
      </c>
      <c r="J22" s="10">
        <f>SUMIFS('[7]TABLO-1'!Y4:Y32873,'[7]TABLO-1'!H4:H32873,"=Dağıtım-OG",'[7]TABLO-1'!J4:J32873,"=Şebeke İşletmecisi",'[7]TABLO-1'!K4:K32873,"=Bildirimli",'[7]TABLO-1'!I4:I32873,"=Uzun",'[7]TABLO-1'!D4:D32873,"=LÜLEBURGAZ")/P8</f>
        <v>18.204184861426185</v>
      </c>
      <c r="K22" s="10">
        <f>SUMIFS('[7]TABLO-1'!Z4:Z32873,'[7]TABLO-1'!H4:H32873,"=Dağıtım-OG",'[7]TABLO-1'!J4:J32873,"=Şebeke İşletmecisi",'[7]TABLO-1'!K4:K32873,"=Bildirimli",'[7]TABLO-1'!I4:I32873,"=Uzun",'[7]TABLO-1'!D4:D32873,"=LÜLEBURGAZ")/P14</f>
        <v>24.377718612570707</v>
      </c>
      <c r="L22" s="10">
        <f t="shared" ref="L22:L25" si="7">IFERROR((((J22*$P$8)+(K22*$P$14))/$P$23),"0,00")</f>
        <v>24.168430791843527</v>
      </c>
      <c r="M22" s="11">
        <f t="shared" ref="M22:M25" si="8">IFERROR((((F22*$P$17)+(I22*$P$20)+(L22*$P$23))/$P$26),"0,00")</f>
        <v>4.8121167348248877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SUMIFS('[7]TABLO-1'!U4:U32873,'[7]TABLO-1'!H4:H32873,"=Dağıtım-OG",'[7]TABLO-1'!J4:J32873,"=Güvenlik",'[7]TABLO-1'!K4:K32873,"=Bildirimli",'[7]TABLO-1'!I4:I32873,"=Uzun",'[7]TABLO-1'!D4:D32873,"=LÜLEBURGAZ")/P6</f>
        <v>0</v>
      </c>
      <c r="E23" s="10">
        <f>SUMIFS('[7]TABLO-1'!V4:V32873,'[7]TABLO-1'!H4:H32873,"=Dağıtım-OG",'[7]TABLO-1'!J4:J32873,"=Güvenlik",'[7]TABLO-1'!K4:K32873,"=Bildirimli",'[7]TABLO-1'!I4:I32873,"=Uzun",'[7]TABLO-1'!D4:D32873,"=LÜLEBURGAZ")/P12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SUMIFS('[7]TABLO-1'!W4:W32873,'[7]TABLO-1'!H4:H32873,"=Dağıtım-OG",'[7]TABLO-1'!J4:J32873,"=Güvenlik",'[7]TABLO-1'!K4:K32873,"=Bildirimli",'[7]TABLO-1'!I4:I32873,"=Uzun",'[7]TABLO-1'!D4:D32873,"=LÜLEBURGAZ")/P7</f>
        <v>0</v>
      </c>
      <c r="H23" s="10">
        <f>SUMIFS('[7]TABLO-1'!X4:X32873,'[7]TABLO-1'!H4:H32873,"=Dağıtım-OG",'[7]TABLO-1'!J4:J32873,"=Güvenlik",'[7]TABLO-1'!K4:K32873,"=Bildirimli",'[7]TABLO-1'!I4:I32873,"=Uzun",'[7]TABLO-1'!D4:D32873,"=LÜLEBURGAZ")/P13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SUMIFS('[7]TABLO-1'!Y4:Y32873,'[7]TABLO-1'!H4:H32873,"=Dağıtım-OG",'[7]TABLO-1'!J4:J32873,"=Güvenlik",'[7]TABLO-1'!K4:K32873,"=Bildirimli",'[7]TABLO-1'!I4:I32873,"=Uzun",'[7]TABLO-1'!D4:D32873,"=LÜLEBURGAZ")/P8</f>
        <v>0</v>
      </c>
      <c r="K23" s="10">
        <f>SUMIFS('[7]TABLO-1'!Z4:Z32873,'[7]TABLO-1'!H4:H32873,"=Dağıtım-OG",'[7]TABLO-1'!J4:J32873,"=Güvenlik",'[7]TABLO-1'!K4:K32873,"=Bildirimli",'[7]TABLO-1'!I4:I32873,"=Uzun",'[7]TABLO-1'!D4:D32873,"=LÜLEBURGAZ")/P14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13510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İşletmecisi",'[7]TABLO-1'!K4:K32873,"=Bildirimli",'[7]TABLO-1'!I4:I32873,"=Uzun",'[7]TABLO-1'!D4:D32873,"=LÜLEBURGAZ")/P6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İşletmecisi",'[7]TABLO-1'!K4:K32873,"=Bildirimli",'[7]TABLO-1'!I4:I32873,"=Uzun",'[7]TABLO-1'!D4:D32873,"=LÜLEBURGAZ")/P12</f>
        <v>0</v>
      </c>
      <c r="F24" s="10">
        <f t="shared" si="5"/>
        <v>0</v>
      </c>
      <c r="G24" s="12">
        <f>SUMIFS('[7]TABLO-1'!W4:W32873,'[7]TABLO-1'!H4:H32873,"=Dağıtım-AG",'[7]TABLO-1'!J4:J32873,"=Şebeke İşletmecisi",'[7]TABLO-1'!K4:K32873,"=Bildirimli",'[7]TABLO-1'!I4:I32873,"=Uzun",'[7]TABLO-1'!D4:D32873,"=LÜLEBURGAZ")/P7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İşletmecisi",'[7]TABLO-1'!K4:K32873,"=Bildirimli",'[7]TABLO-1'!I4:I32873,"=Uzun",'[7]TABLO-1'!D4:D32873,"=LÜLEBURGAZ")/P13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İşletmecisi",'[7]TABLO-1'!K4:K32873,"=Bildirimli",'[7]TABLO-1'!I4:I32873,"=Uzun",'[7]TABLO-1'!D4:D32873,"=LÜLEBURGAZ")/P8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İşletmecisi",'[7]TABLO-1'!K4:K32873,"=Bildirimli",'[7]TABLO-1'!I4:I32873,"=Uzun",'[7]TABLO-1'!D4:D32873,"=LÜLEBURGAZ")/P14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SUMIFS('[7]TABLO-1'!U4:U32873,'[7]TABLO-1'!H4:H32873,"=Dağıtım-AG",'[7]TABLO-1'!J4:J32873,"=Güvenlik",'[7]TABLO-1'!K4:K32873,"=Bildirimli",'[7]TABLO-1'!I4:I32873,"=Uzun",'[7]TABLO-1'!D4:D32873,"=LÜLEBURGAZ")/P6</f>
        <v>0</v>
      </c>
      <c r="E25" s="10">
        <f>SUMIFS('[7]TABLO-1'!V4:V32873,'[7]TABLO-1'!H4:H32873,"=Dağıtım-AG",'[7]TABLO-1'!J4:J32873,"=Güvenlik",'[7]TABLO-1'!K4:K32873,"=Bildirimli",'[7]TABLO-1'!I4:I32873,"=Uzun",'[7]TABLO-1'!D4:D32873,"=LÜLEBURGAZ")/P12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SUMIFS('[7]TABLO-1'!W4:W32873,'[7]TABLO-1'!H4:H32873,"=Dağıtım-AG",'[7]TABLO-1'!J4:J32873,"=Güvenlik",'[7]TABLO-1'!K4:K32873,"=Bildirimli",'[7]TABLO-1'!I4:I32873,"=Uzun",'[7]TABLO-1'!D4:D32873,"=LÜLEBURGAZ")/P7</f>
        <v>0</v>
      </c>
      <c r="H25" s="10">
        <f>SUMIFS('[7]TABLO-1'!X4:X32873,'[7]TABLO-1'!H4:H32873,"=Dağıtım-AG",'[7]TABLO-1'!J4:J32873,"=Güvenlik",'[7]TABLO-1'!K4:K32873,"=Bildirimli",'[7]TABLO-1'!I4:I32873,"=Uzun",'[7]TABLO-1'!D4:D32873,"=LÜLEBURGAZ")/P13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SUMIFS('[7]TABLO-1'!Y4:Y32873,'[7]TABLO-1'!H4:H32873,"=Dağıtım-AG",'[7]TABLO-1'!J4:J32873,"=Güvenlik",'[7]TABLO-1'!K4:K32873,"=Bildirimli",'[7]TABLO-1'!I4:I32873,"=Uzun",'[7]TABLO-1'!D4:D32873,"=LÜLEBURGAZ")/P8</f>
        <v>0</v>
      </c>
      <c r="K25" s="10">
        <f>SUMIFS('[7]TABLO-1'!Z4:Z32873,'[7]TABLO-1'!H4:H32873,"=Dağıtım-AG",'[7]TABLO-1'!J4:J32873,"=Güvenlik",'[7]TABLO-1'!K4:K32873,"=Bildirimli",'[7]TABLO-1'!I4:I32873,"=Uzun",'[7]TABLO-1'!D4:D32873,"=LÜLEBURGAZ")/P14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5.1491555555630475</v>
      </c>
      <c r="E26" s="10">
        <f t="shared" ref="E26:M26" si="9">SUM(E21:E25)</f>
        <v>4.6038203042175187E-2</v>
      </c>
      <c r="F26" s="10">
        <f t="shared" si="9"/>
        <v>7.1941650761970621E-2</v>
      </c>
      <c r="G26" s="10">
        <f t="shared" si="9"/>
        <v>0</v>
      </c>
      <c r="H26" s="10">
        <f t="shared" si="9"/>
        <v>16.640418541089556</v>
      </c>
      <c r="I26" s="10">
        <f t="shared" si="9"/>
        <v>16.320825763503098</v>
      </c>
      <c r="J26" s="10">
        <f t="shared" si="9"/>
        <v>18.204184861426185</v>
      </c>
      <c r="K26" s="10">
        <f t="shared" si="9"/>
        <v>24.377718612570707</v>
      </c>
      <c r="L26" s="10">
        <f t="shared" si="9"/>
        <v>24.168430791843527</v>
      </c>
      <c r="M26" s="11">
        <f t="shared" si="9"/>
        <v>4.8121167348248877</v>
      </c>
      <c r="O26" s="43" t="s">
        <v>22</v>
      </c>
      <c r="P26" s="44">
        <f>P20+P17+P23</f>
        <v>95093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İşletmecisi",'[7]TABLO-1'!K4:K32873,"=Bildirimsiz",'[7]TABLO-1'!I4:I32873,"=Uzun",'[7]TABLO-1'!D4:D32873,"=LÜLEBURGAZ")/P6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İşletmecisi",'[7]TABLO-1'!K4:K32873,"=Bildirimsiz",'[7]TABLO-1'!I4:I32873,"=Uzun",'[7]TABLO-1'!D4:D32873,"=LÜLEBURGAZ")/P12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İşletmecisi",'[7]TABLO-1'!K4:K32873,"=Bildirimsiz",'[7]TABLO-1'!I4:I32873,"=Uzun",'[7]TABLO-1'!D4:D32873,"=LÜLEBURGAZ")/P7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İşletmecisi",'[7]TABLO-1'!K4:K32873,"=Bildirimsiz",'[7]TABLO-1'!I4:I32873,"=Uzun",'[7]TABLO-1'!D4:D32873,"=LÜLEBURGAZ")/P13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İşletmecisi",'[7]TABLO-1'!K4:K32873,"=Bildirimsiz",'[7]TABLO-1'!I4:I32873,"=Uzun",'[7]TABLO-1'!D4:D32873,"=LÜLEBURGAZ")/P8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İşletmecisi",'[7]TABLO-1'!K4:K32873,"=bildirimsiz",'[7]TABLO-1'!I4:I32873,"=Uzun",'[7]TABLO-1'!D4:D32873,"=LÜLEBURGAZ")/P14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Sebep",'[7]TABLO-1'!K4:K32873,"=Bildirimsiz",'[7]TABLO-1'!I4:I32873,"=Uzun",'[7]TABLO-1'!D4:D32873,"=LÜLEBURGAZ")/P6</f>
        <v>0</v>
      </c>
      <c r="E32" s="10">
        <f>SUMIFS('[7]TABLO-1'!P4:P32873,'[7]TABLO-1'!H4:H32873,"=İletim",'[7]TABLO-1'!J4:J32873,"=Mücbir Sebep",'[7]TABLO-1'!K4:K32873,"=Bildirimsiz",'[7]TABLO-1'!I4:I32873,"=Uzun",'[7]TABLO-1'!D4:D32873,"=LÜLEBURGAZ")/P12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Sebep",'[7]TABLO-1'!K4:K32873,"=Bildirimsiz",'[7]TABLO-1'!I4:I32873,"=Uzun",'[7]TABLO-1'!D4:D32873,"=LÜLEBURGAZ")/P7</f>
        <v>0</v>
      </c>
      <c r="H32" s="10">
        <f>SUMIFS('[7]TABLO-1'!R4:R32873,'[7]TABLO-1'!H4:H32873,"=İletim",'[7]TABLO-1'!J4:J32873,"=Mücbir Sebep",'[7]TABLO-1'!K4:K32873,"=Bildirimsiz",'[7]TABLO-1'!I4:I32873,"=Uzun",'[7]TABLO-1'!D4:D32873,"=LÜLEBURGAZ")/P13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Sebep",'[7]TABLO-1'!K4:K32873,"=Bildirimsiz",'[7]TABLO-1'!I4:I32873,"=Uzun",'[7]TABLO-1'!D4:D32873,"=LÜLEBURGAZ")/P8</f>
        <v>0</v>
      </c>
      <c r="K32" s="10">
        <f>SUMIFS('[7]TABLO-1'!T4:T32873,'[7]TABLO-1'!H4:H32873,"=İletim",'[7]TABLO-1'!J4:J32873,"=Mücbir Sebep",'[7]TABLO-1'!K4:K32873,"=bildirimsiz",'[7]TABLO-1'!I4:I32873,"=Uzun",'[7]TABLO-1'!D4:D32873,"=LÜLEBURGAZ")/P14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İşletmecisi",'[7]TABLO-1'!K4:K32873,"=Bildirimsiz",'[7]TABLO-1'!I4:I32873,"=Uzun",'[7]TABLO-1'!D4:D32873,"=LÜLEBURGAZ")/P6</f>
        <v>0.98666666666666669</v>
      </c>
      <c r="E33" s="10">
        <f>SUMIFS('[7]TABLO-1'!P4:P32873,'[7]TABLO-1'!H4:H32873,"=Dağıtım-OG",'[7]TABLO-1'!J4:J32873,"=Şebeke İşletmecisi",'[7]TABLO-1'!K4:K32873,"=Bildirimsiz",'[7]TABLO-1'!I4:I32873,"=Uzun",'[7]TABLO-1'!D4:D32873,"=LÜLEBURGAZ")/P12</f>
        <v>1.3613779216892057</v>
      </c>
      <c r="F33" s="10">
        <f t="shared" si="10"/>
        <v>1.3594758855936218</v>
      </c>
      <c r="G33" s="10">
        <f>SUMIFS('[7]TABLO-1'!Q4:Q32873,'[7]TABLO-1'!H4:H32873,"=Dağıtım-OG",'[7]TABLO-1'!J4:J32873,"=Şebeke İşletmecisi",'[7]TABLO-1'!K4:K32873,"=Bildirimsiz",'[7]TABLO-1'!I4:I32873,"=Uzun",'[7]TABLO-1'!D4:D32873,"=LÜLEBURGAZ")/P7</f>
        <v>0.24324324324324326</v>
      </c>
      <c r="H33" s="10">
        <f>SUMIFS('[7]TABLO-1'!R4:R32873,'[7]TABLO-1'!H4:H32873,"=Dağıtım-OG",'[7]TABLO-1'!J4:J32873,"=Şebeke İşletmecisi",'[7]TABLO-1'!K4:K32873,"=Bildirimsiz",'[7]TABLO-1'!I4:I32873,"=Uzun",'[7]TABLO-1'!D4:D32873,"=LÜLEBURGAZ")/P13</f>
        <v>0.2171209314633501</v>
      </c>
      <c r="I33" s="10">
        <f t="shared" si="11"/>
        <v>0.21762263171554633</v>
      </c>
      <c r="J33" s="10">
        <f>SUMIFS('[7]TABLO-1'!S4:S32873,'[7]TABLO-1'!H4:H32873,"=Dağıtım-OG",'[7]TABLO-1'!J4:J32873,"=Şebeke İşletmecisi",'[7]TABLO-1'!K4:K32873,"=Bildirimsiz",'[7]TABLO-1'!I4:I32873,"=Uzun",'[7]TABLO-1'!D4:D32873,"=LÜLEBURGAZ")/P8</f>
        <v>1.5720524017467248</v>
      </c>
      <c r="K33" s="10">
        <f>SUMIFS('[7]TABLO-1'!T4:T32873,'[7]TABLO-1'!H4:H32873,"=Dağıtım-OG",'[7]TABLO-1'!J4:J32873,"=Şebeke İşletmecisi",'[7]TABLO-1'!K4:K32873,"=bildirimsiz",'[7]TABLO-1'!I4:I32873,"=Uzun",'[7]TABLO-1'!D4:D32873,"=LÜLEBURGAZ")/P14</f>
        <v>1.5920165491878639</v>
      </c>
      <c r="L33" s="10">
        <f t="shared" si="12"/>
        <v>1.591339748334567</v>
      </c>
      <c r="M33" s="11">
        <f t="shared" si="13"/>
        <v>1.2998853753693753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SUMIFS('[7]TABLO-1'!O4:O32873,'[7]TABLO-1'!H4:H32873,"=Dağıtım-OG",'[7]TABLO-1'!J4:J32873,"=Dışsal",'[7]TABLO-1'!K4:K32873,"=Bildirimsiz",'[7]TABLO-1'!I4:I32873,"=Uzun",'[7]TABLO-1'!D4:D32873,"=LÜLEBURGAZ")/P6</f>
        <v>0</v>
      </c>
      <c r="E34" s="10">
        <f>SUMIFS('[7]TABLO-1'!P4:P32873,'[7]TABLO-1'!H4:H32873,"=Dağıtım-OG",'[7]TABLO-1'!J4:J32873,"=Dışsal",'[7]TABLO-1'!K4:K32873,"=Bildirimsiz",'[7]TABLO-1'!I4:I32873,"=Uzun",'[7]TABLO-1'!D4:D32873,"=LÜLEBURGAZ")/P12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SUMIFS('[7]TABLO-1'!Q4:Q32873,'[7]TABLO-1'!H4:H32873,"=Dağıtım-OG",'[7]TABLO-1'!J4:J32873,"=Dışsal",'[7]TABLO-1'!K4:K32873,"=Bildirimsiz",'[7]TABLO-1'!I4:I32873,"=Uzun",'[7]TABLO-1'!D4:D32873,"=LÜLEBURGAZ")/P7</f>
        <v>6.7567567567567571E-3</v>
      </c>
      <c r="H34" s="10">
        <f>SUMIFS('[7]TABLO-1'!R4:R32873,'[7]TABLO-1'!H4:H32873,"=Dağıtım-OG",'[7]TABLO-1'!J4:J32873,"=Dışsal",'[7]TABLO-1'!K4:K32873,"=Bildirimsiz",'[7]TABLO-1'!I4:I32873,"=Uzun",'[7]TABLO-1'!D4:D32873,"=LÜLEBURGAZ")/P13</f>
        <v>0</v>
      </c>
      <c r="I34" s="10">
        <f t="shared" si="11"/>
        <v>1.2976901116013495E-4</v>
      </c>
      <c r="J34" s="10">
        <f>SUMIFS('[7]TABLO-1'!S4:S32873,'[7]TABLO-1'!H4:H32873,"=Dağıtım-OG",'[7]TABLO-1'!J4:J32873,"=Dışsal",'[7]TABLO-1'!K4:K32873,"=Bildirimsiz",'[7]TABLO-1'!I4:I32873,"=Uzun",'[7]TABLO-1'!D4:D32873,"=LÜLEBURGAZ")/P8</f>
        <v>0</v>
      </c>
      <c r="K34" s="10">
        <f>SUMIFS('[7]TABLO-1'!T4:T32873,'[7]TABLO-1'!H4:H32873,"=Dağıtım-OG",'[7]TABLO-1'!J4:J32873,"=Dışsal",'[7]TABLO-1'!K4:K32873,"=bildirimsiz",'[7]TABLO-1'!I4:I32873,"=Uzun",'[7]TABLO-1'!D4:D32873,"=LÜLEBURGAZ")/P14</f>
        <v>0</v>
      </c>
      <c r="L34" s="10">
        <f t="shared" si="12"/>
        <v>0</v>
      </c>
      <c r="M34" s="11">
        <f t="shared" si="13"/>
        <v>1.0516021158234568E-5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Sebep",'[7]TABLO-1'!K4:K32873,"=Bildirimsiz",'[7]TABLO-1'!I4:I32873,"=Uzun",'[7]TABLO-1'!D4:D32873,"=LÜLEBURGAZ")/P6</f>
        <v>0</v>
      </c>
      <c r="E35" s="10">
        <f>SUMIFS('[7]TABLO-1'!P4:P32873,'[7]TABLO-1'!H4:H32873,"=Dağıtım-OG",'[7]TABLO-1'!J4:J32873,"=Mücbir Sebep",'[7]TABLO-1'!K4:K32873,"=Bildirimsiz",'[7]TABLO-1'!I4:I32873,"=Uzun",'[7]TABLO-1'!D4:D32873,"=LÜLEBURGAZ")/P12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Sebep",'[7]TABLO-1'!K4:K32873,"=Bildirimsiz",'[7]TABLO-1'!I4:I32873,"=Uzun",'[7]TABLO-1'!D4:D32873,"=LÜLEBURGAZ")/P7</f>
        <v>0</v>
      </c>
      <c r="H35" s="10">
        <f>SUMIFS('[7]TABLO-1'!R4:R32873,'[7]TABLO-1'!H4:H32873,"=Dağıtım-OG",'[7]TABLO-1'!J4:J32873,"=Mücbir Sebep",'[7]TABLO-1'!K4:K32873,"=Bildirimsiz",'[7]TABLO-1'!I4:I32873,"=Uzun",'[7]TABLO-1'!D4:D32873,"=LÜLEBURGAZ")/P13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Sebep",'[7]TABLO-1'!K4:K32873,"=Bildirimsiz",'[7]TABLO-1'!I4:I32873,"=Uzun",'[7]TABLO-1'!D4:D32873,"=LÜLEBURGAZ")/P8</f>
        <v>0</v>
      </c>
      <c r="K35" s="10">
        <f>SUMIFS('[7]TABLO-1'!T4:T32873,'[7]TABLO-1'!H4:H32873,"=Dağıtım-OG",'[7]TABLO-1'!J4:J32873,"=Mücbir Sebep",'[7]TABLO-1'!K4:K32873,"=bildirimsiz",'[7]TABLO-1'!I4:I32873,"=Uzun",'[7]TABLO-1'!D4:D32873,"=LÜLEBURGAZ")/P14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SUMIFS('[7]TABLO-1'!O4:O32873,'[7]TABLO-1'!H4:H32873,"=Dağıtım-OG",'[7]TABLO-1'!J4:J32873,"=Güvenlik",'[7]TABLO-1'!K4:K32873,"=Bildirimsiz",'[7]TABLO-1'!I4:I32873,"=Uzun",'[7]TABLO-1'!D4:D32873,"=LÜLEBURGAZ")/P6</f>
        <v>0</v>
      </c>
      <c r="E36" s="10">
        <f>SUMIFS('[7]TABLO-1'!P4:P32873,'[7]TABLO-1'!H4:H32873,"=Dağıtım-OG",'[7]TABLO-1'!J4:J32873,"=Güvenlik",'[7]TABLO-1'!K4:K32873,"=Bildirimsiz",'[7]TABLO-1'!I4:I32873,"=Uzun",'[7]TABLO-1'!D4:D32873,"=LÜLEBURGAZ")/P12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SUMIFS('[7]TABLO-1'!Q4:Q32873,'[7]TABLO-1'!H4:H32873,"=Dağıtım-OG",'[7]TABLO-1'!J4:J32873,"=Güvenlik",'[7]TABLO-1'!K4:K32873,"=Bildirimsiz",'[7]TABLO-1'!I4:I32873,"=Uzun",'[7]TABLO-1'!D4:D32873,"=LÜLEBURGAZ")/P7</f>
        <v>0</v>
      </c>
      <c r="H36" s="10">
        <f>SUMIFS('[7]TABLO-1'!R4:R32873,'[7]TABLO-1'!H4:H32873,"=Dağıtım-OG",'[7]TABLO-1'!J4:J32873,"=Güvenlik",'[7]TABLO-1'!K4:K32873,"=Bildirimsiz",'[7]TABLO-1'!I4:I32873,"=Uzun",'[7]TABLO-1'!D4:D32873,"=LÜLEBURGAZ")/P13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SUMIFS('[7]TABLO-1'!S4:S32873,'[7]TABLO-1'!H4:H32873,"=Dağıtım-OG",'[7]TABLO-1'!J4:J32873,"=Güvenlik",'[7]TABLO-1'!K4:K32873,"=Bildirimsiz",'[7]TABLO-1'!I4:I32873,"=Uzun",'[7]TABLO-1'!D4:D32873,"=LÜLEBURGAZ")/P8</f>
        <v>0</v>
      </c>
      <c r="K36" s="10">
        <f>SUMIFS('[7]TABLO-1'!T4:T32873,'[7]TABLO-1'!H4:H32873,"=Dağıtım-OG",'[7]TABLO-1'!J4:J32873,"=Güvenlik",'[7]TABLO-1'!K4:K32873,"=bildirimsiz",'[7]TABLO-1'!I4:I32873,"=Uzun",'[7]TABLO-1'!D4:D32873,"=LÜLEBURGAZ")/P14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İşletmecisi",'[7]TABLO-1'!K4:K32873,"=Bildirimsiz",'[7]TABLO-1'!I4:I32873,"=Uzun",'[7]TABLO-1'!D4:D32873,"=LÜLEBURGAZ")/P6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İşletmecisi",'[7]TABLO-1'!K4:K32873,"=Bildirimsiz",'[7]TABLO-1'!I4:I32873,"=Uzun",'[7]TABLO-1'!D4:D32873,"=LÜLEBURGAZ")/P12</f>
        <v>3.4828984245326655E-2</v>
      </c>
      <c r="F37" s="10">
        <f t="shared" si="10"/>
        <v>3.4652192157234321E-2</v>
      </c>
      <c r="G37" s="12">
        <f>SUMIFS('[7]TABLO-1'!Q4:Q32873,'[7]TABLO-1'!H4:H32873,"=Dağıtım-AG",'[7]TABLO-1'!J4:J32873,"=Şebeke İşletmecisi",'[7]TABLO-1'!K4:K32873,"=Bildirimsiz",'[7]TABLO-1'!I4:I32873,"=Uzun",'[7]TABLO-1'!D4:D32873,"=LÜLEBURGAZ")/P7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İşletmecisi",'[7]TABLO-1'!K4:K32873,"=Bildirimsiz",'[7]TABLO-1'!I4:I32873,"=Uzun",'[7]TABLO-1'!D4:D32873,"=LÜLEBURGAZ")/P13</f>
        <v>8.25615242127547E-2</v>
      </c>
      <c r="I37" s="10">
        <f t="shared" si="11"/>
        <v>8.0975862963924214E-2</v>
      </c>
      <c r="J37" s="12">
        <f>SUMIFS('[7]TABLO-1'!S4:S32873,'[7]TABLO-1'!H4:H32873,"=Dağıtım-AG",'[7]TABLO-1'!J4:J32873,"=Şebeke İşletmecisi",'[7]TABLO-1'!K4:K32873,"=Bildirimsiz",'[7]TABLO-1'!I4:I32873,"=Uzun",'[7]TABLO-1'!D4:D32873,"=LÜLEBURGAZ")/P8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İşletmecisi",'[7]TABLO-1'!K4:K32873,"=bildirimsiz",'[7]TABLO-1'!I4:I32873,"=Uzun",'[7]TABLO-1'!D4:D32873,"=LÜLEBURGAZ")/P14</f>
        <v>0.10419859025436715</v>
      </c>
      <c r="L37" s="10">
        <f t="shared" si="12"/>
        <v>0.10066617320503331</v>
      </c>
      <c r="M37" s="11">
        <f t="shared" si="13"/>
        <v>4.7784800143017885E-2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SUMIFS('[7]TABLO-1'!O4:O32873,'[7]TABLO-1'!H4:H32873,"=Dağıtım-AG",'[7]TABLO-1'!J4:J32873,"=Dışsal",'[7]TABLO-1'!K4:K32873,"=Bildirimsiz",'[7]TABLO-1'!I4:I32873,"=Uzun",'[7]TABLO-1'!D4:D32873,"=LÜLEBURGAZ")/P6</f>
        <v>0</v>
      </c>
      <c r="E38" s="10">
        <f>SUMIFS('[7]TABLO-1'!P4:P32873,'[7]TABLO-1'!H4:H32873,"=Dağıtım-AG",'[7]TABLO-1'!J4:J32873,"=Dışsal",'[7]TABLO-1'!K4:K32873,"=Bildirimsiz",'[7]TABLO-1'!I4:I32873,"=Uzun",'[7]TABLO-1'!D4:D32873,"=LÜLEBURGAZ")/P12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SUMIFS('[7]TABLO-1'!Q4:Q32873,'[7]TABLO-1'!H4:H32873,"=Dağıtım-AG",'[7]TABLO-1'!J4:J32873,"=Dışsal",'[7]TABLO-1'!K4:K32873,"=Bildirimsiz",'[7]TABLO-1'!I4:I32873,"=Uzun",'[7]TABLO-1'!D4:D32873,"=LÜLEBURGAZ")/P7</f>
        <v>0</v>
      </c>
      <c r="H38" s="10">
        <f>SUMIFS('[7]TABLO-1'!R4:R32873,'[7]TABLO-1'!H4:H32873,"=Dağıtım-AG",'[7]TABLO-1'!J4:J32873,"=Dışsal",'[7]TABLO-1'!K4:K32873,"=Bildirimsiz",'[7]TABLO-1'!I4:I32873,"=Uzun",'[7]TABLO-1'!D4:D32873,"=LÜLEBURGAZ")/P13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SUMIFS('[7]TABLO-1'!S4:S32873,'[7]TABLO-1'!H4:H32873,"=Dağıtım-AG",'[7]TABLO-1'!J4:J32873,"=Dışsal",'[7]TABLO-1'!K4:K32873,"=Bildirimsiz",'[7]TABLO-1'!I4:I32873,"=Uzun",'[7]TABLO-1'!D4:D32873,"=LÜLEBURGAZ")/P8</f>
        <v>0</v>
      </c>
      <c r="K38" s="10">
        <f>SUMIFS('[7]TABLO-1'!T4:T32873,'[7]TABLO-1'!H4:H32873,"=Dağıtım-AG",'[7]TABLO-1'!J4:J32873,"=Dışsal",'[7]TABLO-1'!K4:K32873,"=bildirimsiz",'[7]TABLO-1'!I4:I32873,"=Uzun",'[7]TABLO-1'!D4:D32873,"=LÜLEBURGAZ")/P14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Sebep",'[7]TABLO-1'!K4:K32873,"=Bildirimsiz",'[7]TABLO-1'!I4:I32873,"=Uzun",'[7]TABLO-1'!D4:D32873,"=LÜLEBURGAZ")/P6</f>
        <v>0</v>
      </c>
      <c r="E39" s="10">
        <f>SUMIFS('[7]TABLO-1'!P4:P32873,'[7]TABLO-1'!H4:H32873,"=Dağıtım-AG",'[7]TABLO-1'!J4:J32873,"=Mücbir Sebep",'[7]TABLO-1'!K4:K32873,"=Bildirimsiz",'[7]TABLO-1'!I4:I32873,"=Uzun",'[7]TABLO-1'!D4:D32873,"=LÜLEBURGAZ")/P12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Sebep",'[7]TABLO-1'!K4:K32873,"=Bildirimsiz",'[7]TABLO-1'!I4:I32873,"=Uzun",'[7]TABLO-1'!D4:D32873,"=LÜLEBURGAZ")/P7</f>
        <v>0</v>
      </c>
      <c r="H39" s="10">
        <f>SUMIFS('[7]TABLO-1'!R4:R32873,'[7]TABLO-1'!H4:H32873,"=Dağıtım-AG",'[7]TABLO-1'!J4:J32873,"=Mücbir Sebep",'[7]TABLO-1'!K4:K32873,"=Bildirimsiz",'[7]TABLO-1'!I4:I32873,"=Uzun",'[7]TABLO-1'!D4:D32873,"=LÜLEBURGAZ")/P13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Sebep",'[7]TABLO-1'!K4:K32873,"=Bildirimsiz",'[7]TABLO-1'!I4:I32873,"=Uzun",'[7]TABLO-1'!D4:D32873,"=LÜLEBURGAZ")/P8</f>
        <v>0</v>
      </c>
      <c r="K39" s="10">
        <f>SUMIFS('[7]TABLO-1'!T4:T32873,'[7]TABLO-1'!H4:H32873,"=Dağıtım-AG",'[7]TABLO-1'!J4:J32873,"=Mücbir Sebep",'[7]TABLO-1'!K4:K32873,"=bildirimsiz",'[7]TABLO-1'!I4:I32873,"=Uzun",'[7]TABLO-1'!D4:D32873,"=LÜLEBURGAZ")/P14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SUMIFS('[7]TABLO-1'!O4:O32873,'[7]TABLO-1'!H4:H32873,"=Dağıtım-AG",'[7]TABLO-1'!J4:J32873,"=Güvenlik",'[7]TABLO-1'!K4:K32873,"=Bildirimsiz",'[7]TABLO-1'!I4:I32873,"=Uzun",'[7]TABLO-1'!D4:D32873,"=LÜLEBURGAZ")/P6</f>
        <v>0</v>
      </c>
      <c r="E40" s="10">
        <f>SUMIFS('[7]TABLO-1'!P4:P32873,'[7]TABLO-1'!H4:H32873,"=Dağıtım-AG",'[7]TABLO-1'!J4:J32873,"=Güvenlik",'[7]TABLO-1'!K4:K32873,"=Bildirimsiz",'[7]TABLO-1'!I4:I32873,"=Uzun",'[7]TABLO-1'!D4:D32873,"=LÜLEBURGAZ")/P12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SUMIFS('[7]TABLO-1'!Q4:Q32873,'[7]TABLO-1'!H4:H32873,"=Dağıtım-AG",'[7]TABLO-1'!J4:J32873,"=Güvenlik",'[7]TABLO-1'!K4:K32873,"=Bildirimsiz",'[7]TABLO-1'!I4:I32873,"=Uzun",'[7]TABLO-1'!D4:D32873,"=LÜLEBURGAZ")/P7</f>
        <v>0</v>
      </c>
      <c r="H40" s="10">
        <f>SUMIFS('[7]TABLO-1'!R4:R32873,'[7]TABLO-1'!H4:H32873,"=Dağıtım-AG",'[7]TABLO-1'!J4:J32873,"=Güvenlik",'[7]TABLO-1'!K4:K32873,"=Bildirimsiz",'[7]TABLO-1'!I4:I32873,"=Uzun",'[7]TABLO-1'!D4:D32873,"=LÜLEBURGAZ")/P13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SUMIFS('[7]TABLO-1'!S4:S32873,'[7]TABLO-1'!H4:H32873,"=Dağıtım-AG",'[7]TABLO-1'!J4:J32873,"=Güvenlik",'[7]TABLO-1'!K4:K32873,"=Bildirimsiz",'[7]TABLO-1'!I4:I32873,"=Uzun",'[7]TABLO-1'!D4:D32873,"=LÜLEBURGAZ")/P8</f>
        <v>0</v>
      </c>
      <c r="K40" s="10">
        <f>SUMIFS('[7]TABLO-1'!T4:T32873,'[7]TABLO-1'!H4:H32873,"=Dağıtım-AG",'[7]TABLO-1'!J4:J32873,"=Güvenlik",'[7]TABLO-1'!K4:K32873,"=bildirimsiz",'[7]TABLO-1'!I4:I32873,"=Uzun",'[7]TABLO-1'!D4:D32873,"=LÜLEBURGAZ")/P14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0.98666666666666669</v>
      </c>
      <c r="E41" s="10">
        <f t="shared" ref="E41:M41" si="14">SUM(E31:E40)</f>
        <v>1.3962069059345323</v>
      </c>
      <c r="F41" s="10">
        <f t="shared" si="14"/>
        <v>1.394128077750856</v>
      </c>
      <c r="G41" s="10">
        <f t="shared" si="14"/>
        <v>0.25</v>
      </c>
      <c r="H41" s="10">
        <f t="shared" si="14"/>
        <v>0.2996824556761048</v>
      </c>
      <c r="I41" s="10">
        <f t="shared" si="14"/>
        <v>0.29872826369063066</v>
      </c>
      <c r="J41" s="10">
        <f t="shared" si="14"/>
        <v>1.5720524017467248</v>
      </c>
      <c r="K41" s="10">
        <f t="shared" si="14"/>
        <v>1.6962151394422311</v>
      </c>
      <c r="L41" s="10">
        <f t="shared" si="14"/>
        <v>1.6920059215396004</v>
      </c>
      <c r="M41" s="10">
        <f t="shared" si="14"/>
        <v>1.3476806915335515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İşletmecisi",'[7]TABLO-1'!K4:K32873,"=Bildirimli",'[7]TABLO-1'!I4:I32873,"=Uzun",'[7]TABLO-1'!D4:D32873,"=LÜLEBURGAZ")/P6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İşletmecisi",'[7]TABLO-1'!K4:K32873,"=Bildirimli",'[7]TABLO-1'!I4:I32873,"=Uzun",'[7]TABLO-1'!D4:D32873,"=LÜLEBURGAZ")/P12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İşletmecisi",'[7]TABLO-1'!K4:K32873,"=Bildirimli",'[7]TABLO-1'!I4:I32873,"=Uzun",'[7]TABLO-1'!D4:D32873,"=LÜLEBURGAZ")/P7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İşletmecisi",'[7]TABLO-1'!K4:K32873,"=Bildirimli",'[7]TABLO-1'!I4:I32873,"=Uzun",'[7]TABLO-1'!D4:D32873,"=LÜLEBURGAZ")/P13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İşletmecisi",'[7]TABLO-1'!K4:K32873,"=Bildirimli",'[7]TABLO-1'!I4:I32873,"=Uzun",'[7]TABLO-1'!D4:D32873,"=LÜLEBURGAZ")/P8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İşletmecisi",'[7]TABLO-1'!K4:K32873,"=bildirimli",'[7]TABLO-1'!I4:I32873,"=Uzun",'[7]TABLO-1'!D4:D32873,"=LÜLEBURGAZ")/P14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İşletmecisi",'[7]TABLO-1'!K4:K32873,"=Bildirimli",'[7]TABLO-1'!I4:I32873,"=Uzun",'[7]TABLO-1'!D4:D32873,"=LÜLEBURGAZ")/P6</f>
        <v>1.3333333333333334E-2</v>
      </c>
      <c r="E47" s="10">
        <f>SUMIFS('[7]TABLO-1'!P4:P32873,'[7]TABLO-1'!H4:H32873,"=Dağıtım-OG",'[7]TABLO-1'!J4:J32873,"=Şebeke İşletmecisi",'[7]TABLO-1'!K4:K32873,"=Bildirimli",'[7]TABLO-1'!I4:I32873,"=Uzun",'[7]TABLO-1'!D4:D32873,"=LÜLEBURGAZ")/P12</f>
        <v>8.1630431824984356E-5</v>
      </c>
      <c r="F47" s="10">
        <f t="shared" ref="F47:F50" si="15">IFERROR((((D47*$P$6)+(E47*$P$12))/$P$17),"0,00")</f>
        <v>1.4889613817561622E-4</v>
      </c>
      <c r="G47" s="10">
        <f>SUMIFS('[7]TABLO-1'!Q4:Q32873,'[7]TABLO-1'!H4:H32873,"=Dağıtım-OG",'[7]TABLO-1'!J4:J32873,"=Şebeke İşletmecisi",'[7]TABLO-1'!K4:K32873,"=Bildirimli",'[7]TABLO-1'!I4:I32873,"=Uzun",'[7]TABLO-1'!D4:D32873,"=LÜLEBURGAZ")/P7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İşletmecisi",'[7]TABLO-1'!K4:K32873,"=Bildirimli",'[7]TABLO-1'!I4:I32873,"=Uzun",'[7]TABLO-1'!D4:D32873,"=LÜLEBURGAZ")/P13</f>
        <v>2.9505160095263296E-2</v>
      </c>
      <c r="I47" s="10">
        <f t="shared" ref="I47:I50" si="16">IFERROR((((G47*$P$7)+(H47*$P$13))/$P$20),"0,00")</f>
        <v>2.8938489488710094E-2</v>
      </c>
      <c r="J47" s="10">
        <f>SUMIFS('[7]TABLO-1'!S4:S32873,'[7]TABLO-1'!H4:H32873,"=Dağıtım-OG",'[7]TABLO-1'!J4:J32873,"=Şebeke İşletmecisi",'[7]TABLO-1'!K4:K32873,"=Bildirimli",'[7]TABLO-1'!I4:I32873,"=Uzun",'[7]TABLO-1'!D4:D32873,"=LÜLEBURGAZ")/P8</f>
        <v>0.13537117903930132</v>
      </c>
      <c r="K47" s="10">
        <f>SUMIFS('[7]TABLO-1'!T4:T32873,'[7]TABLO-1'!H4:H32873,"=Dağıtım-OG",'[7]TABLO-1'!J4:J32873,"=Şebeke İşletmecisi",'[7]TABLO-1'!K4:K32873,"=bildirimli",'[7]TABLO-1'!I4:I32873,"=Uzun",'[7]TABLO-1'!D4:D32873,"=LÜLEBURGAZ")/P14</f>
        <v>0.1330064357952804</v>
      </c>
      <c r="L47" s="10">
        <f t="shared" ref="L47:L50" si="17">IFERROR((((J47*$P$8)+(K47*$P$14))/$P$23),"0,00")</f>
        <v>0.1330866025166543</v>
      </c>
      <c r="M47" s="11">
        <f t="shared" ref="M47:M50" si="18">IFERROR((((F47*$P$17)+(I47*$P$20)+(L47*$P$23))/$P$26),"0,00")</f>
        <v>2.1368554993532643E-2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SUMIFS('[7]TABLO-1'!O4:O32873,'[7]TABLO-1'!H4:H32873,"=Dağıtım-OG",'[7]TABLO-1'!J4:J32873,"=Güvenlik",'[7]TABLO-1'!K4:K32873,"=Bildirimli",'[7]TABLO-1'!I4:I32873,"=Uzun",'[7]TABLO-1'!D4:D32873,"=LÜLEBURGAZ")/P6</f>
        <v>0</v>
      </c>
      <c r="E48" s="10">
        <f>SUMIFS('[7]TABLO-1'!P4:P32873,'[7]TABLO-1'!H4:H32873,"=Dağıtım-OG",'[7]TABLO-1'!J4:J32873,"=Güvenlik",'[7]TABLO-1'!K4:K32873,"=Bildirimli",'[7]TABLO-1'!I4:I32873,"=Uzun",'[7]TABLO-1'!D4:D32873,"=LÜLEBURGAZ")/P12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SUMIFS('[7]TABLO-1'!Q4:Q32873,'[7]TABLO-1'!H4:H32873,"=Dağıtım-OG",'[7]TABLO-1'!J4:J32873,"=Güvenlik",'[7]TABLO-1'!K4:K32873,"=Bildirimli",'[7]TABLO-1'!I4:I32873,"=Uzun",'[7]TABLO-1'!D4:D32873,"=LÜLEBURGAZ")/P7</f>
        <v>0</v>
      </c>
      <c r="H48" s="10">
        <f>SUMIFS('[7]TABLO-1'!R4:R32873,'[7]TABLO-1'!H4:H32873,"=Dağıtım-OG",'[7]TABLO-1'!J4:J32873,"=Güvenlik",'[7]TABLO-1'!K4:K32873,"=Bildirimli",'[7]TABLO-1'!I4:I32873,"=Uzun",'[7]TABLO-1'!D4:D32873,"=LÜLEBURGAZ")/P13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SUMIFS('[7]TABLO-1'!S4:S32873,'[7]TABLO-1'!H4:H32873,"=Dağıtım-OG",'[7]TABLO-1'!J4:J32873,"=Güvenlik",'[7]TABLO-1'!K4:K32873,"=Bildirimli",'[7]TABLO-1'!I4:I32873,"=Uzun",'[7]TABLO-1'!D4:D32873,"=LÜLEBURGAZ")/P8</f>
        <v>0</v>
      </c>
      <c r="K48" s="10">
        <f>SUMIFS('[7]TABLO-1'!T4:T32873,'[7]TABLO-1'!H4:H32873,"=Dağıtım-OG",'[7]TABLO-1'!J4:J32873,"=Güvenlik",'[7]TABLO-1'!K4:K32873,"=bildirimli",'[7]TABLO-1'!I4:I32873,"=Uzun",'[7]TABLO-1'!D4:D32873,"=LÜLEBURGAZ")/P14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İşletmecisi",'[7]TABLO-1'!K4:K32873,"=Bildirimli",'[7]TABLO-1'!I4:I32873,"=Uzun",'[7]TABLO-1'!D4:D32873,"=LÜLEBURGAZ")/P6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İşletmecisi",'[7]TABLO-1'!K4:K32873,"=Bildirimli",'[7]TABLO-1'!I4:I32873,"=Uzun",'[7]TABLO-1'!D4:D32873,"=LÜLEBURGAZ")/P12</f>
        <v>0</v>
      </c>
      <c r="F49" s="10">
        <f t="shared" si="15"/>
        <v>0</v>
      </c>
      <c r="G49" s="12">
        <f>SUMIFS('[7]TABLO-1'!Q4:Q32873,'[7]TABLO-1'!H4:H32873,"=Dağıtım-AG",'[7]TABLO-1'!J4:J32873,"=Şebeke İşletmecisi",'[7]TABLO-1'!K4:K32873,"=Bildirimli",'[7]TABLO-1'!I4:I32873,"=Uzun",'[7]TABLO-1'!D4:D32873,"=LÜLEBURGAZ")/P7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İşletmecisi",'[7]TABLO-1'!K4:K32873,"=Bildirimli",'[7]TABLO-1'!I4:I32873,"=Uzun",'[7]TABLO-1'!D4:D32873,"=LÜLEBURGAZ")/P13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İşletmecisi",'[7]TABLO-1'!K4:K32873,"=Bildirimli",'[7]TABLO-1'!I4:I32873,"=Uzun",'[7]TABLO-1'!D4:D32873,"=LÜLEBURGAZ")/P8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İşletmecisi",'[7]TABLO-1'!K4:K32873,"=bildirimli",'[7]TABLO-1'!I4:I32873,"=Uzun",'[7]TABLO-1'!D4:D32873,"=LÜLEBURGAZ")/P14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SUMIFS('[7]TABLO-1'!O4:O32873,'[7]TABLO-1'!H4:H32873,"=Dağıtım-AG",'[7]TABLO-1'!J4:J32873,"=Güvenlik",'[7]TABLO-1'!K4:K32873,"=Bildirimli",'[7]TABLO-1'!I4:I32873,"=Uzun",'[7]TABLO-1'!D4:D32873,"=LÜLEBURGAZ")/P6</f>
        <v>0</v>
      </c>
      <c r="E50" s="10">
        <f>SUMIFS('[7]TABLO-1'!P4:P32873,'[7]TABLO-1'!H4:H32873,"=Dağıtım-AG",'[7]TABLO-1'!J4:J32873,"=Güvenlik",'[7]TABLO-1'!K4:K32873,"=Bildirimli",'[7]TABLO-1'!I4:I32873,"=Uzun",'[7]TABLO-1'!D4:D32873,"=LÜLEBURGAZ")/P12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SUMIFS('[7]TABLO-1'!Q4:Q32873,'[7]TABLO-1'!H4:H32873,"=Dağıtım-AG",'[7]TABLO-1'!J4:J32873,"=Güvenlik",'[7]TABLO-1'!K4:K32873,"=Bildirimli",'[7]TABLO-1'!I4:I32873,"=Uzun",'[7]TABLO-1'!D4:D32873,"=LÜLEBURGAZ")/P7</f>
        <v>0</v>
      </c>
      <c r="H50" s="10">
        <f>SUMIFS('[7]TABLO-1'!R4:R32873,'[7]TABLO-1'!H4:H32873,"=Dağıtım-AG",'[7]TABLO-1'!J4:J32873,"=Güvenlik",'[7]TABLO-1'!K4:K32873,"=Bildirimli",'[7]TABLO-1'!I4:I32873,"=Uzun",'[7]TABLO-1'!D4:D32873,"=LÜLEBURGAZ")/P13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SUMIFS('[7]TABLO-1'!S4:S32873,'[7]TABLO-1'!H4:H32873,"=Dağıtım-AG",'[7]TABLO-1'!J4:J32873,"=Güvenlik",'[7]TABLO-1'!K4:K32873,"=Bildirimli",'[7]TABLO-1'!I4:I32873,"=Uzun",'[7]TABLO-1'!D4:D32873,"=LÜLEBURGAZ")/P8</f>
        <v>0</v>
      </c>
      <c r="K50" s="10">
        <f>SUMIFS('[7]TABLO-1'!T4:T32873,'[7]TABLO-1'!H4:H32873,"=Dağıtım-AG",'[7]TABLO-1'!J4:J32873,"=Güvenlik",'[7]TABLO-1'!K4:K32873,"=bildirimli",'[7]TABLO-1'!I4:I32873,"=Uzun",'[7]TABLO-1'!D4:D32873,"=LÜLEBURGAZ")/P14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1.3333333333333334E-2</v>
      </c>
      <c r="E51" s="10">
        <f t="shared" ref="E51:M51" si="19">SUM(E46:E50)</f>
        <v>8.1630431824984356E-5</v>
      </c>
      <c r="F51" s="10">
        <f t="shared" si="19"/>
        <v>1.4889613817561622E-4</v>
      </c>
      <c r="G51" s="10">
        <f t="shared" si="19"/>
        <v>0</v>
      </c>
      <c r="H51" s="10">
        <f t="shared" si="19"/>
        <v>2.9505160095263296E-2</v>
      </c>
      <c r="I51" s="10">
        <f t="shared" si="19"/>
        <v>2.8938489488710094E-2</v>
      </c>
      <c r="J51" s="10">
        <f t="shared" si="19"/>
        <v>0.13537117903930132</v>
      </c>
      <c r="K51" s="10">
        <f t="shared" si="19"/>
        <v>0.1330064357952804</v>
      </c>
      <c r="L51" s="10">
        <f t="shared" si="19"/>
        <v>0.1330866025166543</v>
      </c>
      <c r="M51" s="10">
        <f t="shared" si="19"/>
        <v>2.1368554993532643E-2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SUMIFS('[7]TABLO-1'!O1:O32873,'[7]TABLO-1'!H1:H32873,"=İletim",'[7]TABLO-1'!K1:K32873,"=Bildirimsiz",'[7]TABLO-1'!I1:I32873,"=Kısa",'[7]TABLO-1'!D1:D32873,"=LÜLEBURGAZ")/P6</f>
        <v>0</v>
      </c>
      <c r="D56" s="10">
        <f>SUMIFS('[7]TABLO-1'!P1:P32873,'[7]TABLO-1'!H1:H32873,"=İletim",'[7]TABLO-1'!K1:K32873,"=Bildirimsiz",'[7]TABLO-1'!I1:I32873,"=Kısa",'[7]TABLO-1'!D1:D32873,"=LÜLEBURGAZ")/P12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SUMIFS('[7]TABLO-1'!Q1:Q32873,'[7]TABLO-1'!H1:H32873,"=İletim",'[7]TABLO-1'!K1:K32873,"=Bildirimsiz",'[7]TABLO-1'!I1:I32873,"=Kısa",'[7]TABLO-1'!D1:D32873,"=LÜLEBURGAZ")/P7</f>
        <v>0</v>
      </c>
      <c r="G56" s="10">
        <f>SUMIFS('[7]TABLO-1'!R1:R32873,'[7]TABLO-1'!H1:H32873,"=İletim",'[7]TABLO-1'!K1:K32873,"=Bildirimsiz",'[7]TABLO-1'!I1:I32873,"=Kısa",'[7]TABLO-1'!D1:D32873,"=LÜLEBURGAZ")/P13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SUMIFS('[7]TABLO-1'!S1:S32873,'[7]TABLO-1'!H1:H32873,"=İletim",'[7]TABLO-1'!K1:K32873,"=Bildirimsiz",'[7]TABLO-1'!I1:I32873,"=Kısa",'[7]TABLO-1'!D1:D32873,"=LÜLEBURGAZ")/P8</f>
        <v>0</v>
      </c>
      <c r="J56" s="10">
        <f>SUMIFS('[7]TABLO-1'!T1:T32873,'[7]TABLO-1'!H1:H32873,"=İletim",'[7]TABLO-1'!K1:K32873,"=Bildirimsiz",'[7]TABLO-1'!I1:I32873,"=Kısa",'[7]TABLO-1'!D1:D32873,"=LÜLEBURGAZ")/P14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SUMIFS('[7]TABLO-1'!O4:O32873,'[7]TABLO-1'!H4:H32873,"=Dağıtım-OG",'[7]TABLO-1'!K4:K32873,"=Bildirimsiz",'[7]TABLO-1'!I4:I32873,"=Kısa",'[7]TABLO-1'!D4:D32873,"=LÜLEBURGAZ")/P6</f>
        <v>0.34133333333333332</v>
      </c>
      <c r="D57" s="10">
        <f>SUMIFS('[7]TABLO-1'!P4:P32873,'[7]TABLO-1'!H4:H32873,"=Dağıtım-OG",'[7]TABLO-1'!K4:K32873,"=Bildirimsiz",'[7]TABLO-1'!I4:I32873,"=Kısa",'[7]TABLO-1'!D4:D32873,"=LÜLEBURGAZ")/P12</f>
        <v>0.38803025768006311</v>
      </c>
      <c r="E57" s="10">
        <f>IFERROR((((C57*$P$6)+(D57*$P$12))/$P$17),"0,00")</f>
        <v>0.38779322387211174</v>
      </c>
      <c r="F57" s="10">
        <f>SUMIFS('[7]TABLO-1'!Q4:Q32873,'[7]TABLO-1'!H4:H32873,"=Dağıtım-OG",'[7]TABLO-1'!K4:K32873,"=Bildirimsiz",'[7]TABLO-1'!I4:I32873,"=Kısa",'[7]TABLO-1'!D4:D32873,"=LÜLEBURGAZ")/P7</f>
        <v>0.12162162162162163</v>
      </c>
      <c r="G57" s="10">
        <f>SUMIFS('[7]TABLO-1'!R4:R32873,'[7]TABLO-1'!H4:H32873,"=Dağıtım-OG",'[7]TABLO-1'!K4:K32873,"=Bildirimsiz",'[7]TABLO-1'!I4:I32873,"=Kısa",'[7]TABLO-1'!D4:D32873,"=LÜLEBURGAZ")/P13</f>
        <v>0.43556496427626357</v>
      </c>
      <c r="H57" s="10">
        <f>IFERROR((((F57*$P$7)+(G57*$P$13))/$P$20),"0,00")</f>
        <v>0.42953542694004671</v>
      </c>
      <c r="I57" s="10">
        <f>SUMIFS('[7]TABLO-1'!S4:S32873,'[7]TABLO-1'!H4:H32873,"=Dağıtım-OG",'[7]TABLO-1'!K4:K32873,"=Bildirimsiz",'[7]TABLO-1'!I4:I32873,"=Kısa",'[7]TABLO-1'!D4:D32873,"=LÜLEBURGAZ")/P8</f>
        <v>0.90611353711790388</v>
      </c>
      <c r="J57" s="10">
        <f>SUMIFS('[7]TABLO-1'!T4:T32873,'[7]TABLO-1'!H4:H32873,"=Dağıtım-OG",'[7]TABLO-1'!K4:K32873,"=Bildirimsiz",'[7]TABLO-1'!I4:I32873,"=Kısa",'[7]TABLO-1'!D4:D32873,"=LÜLEBURGAZ")/P14</f>
        <v>1.0825160894882011</v>
      </c>
      <c r="K57" s="10">
        <f>IFERROR((((I57*$P$8)+(J57*$P$14))/$P$23),"0,00")</f>
        <v>1.0765358993338268</v>
      </c>
      <c r="L57" s="11">
        <f>IFERROR((((E57*$P$17)+(H57*$P$20)+(K57*$P$23))/$P$26),"0,00")</f>
        <v>0.48902653192138223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SUMIFS('[7]TABLO-1'!O4:O32873,'[7]TABLO-1'!H4:H32873,"=Dağıtım-AG",'[7]TABLO-1'!K4:K32873,"=Bildirimsiz",'[7]TABLO-1'!I4:I32873,"=Kısa",'[7]TABLO-1'!D4:D32873,"=LÜLEBURGAZ")/P6</f>
        <v>0</v>
      </c>
      <c r="D58" s="10">
        <f>SUMIFS('[7]TABLO-1'!P4:P32873,'[7]TABLO-1'!H4:H32873,"=Dağıtım-AG",'[7]TABLO-1'!K4:K32873,"=Bildirimsiz",'[7]TABLO-1'!I4:I32873,"=Kısa",'[7]TABLO-1'!D4:D32873,"=LÜLEBURGAZ")/P12</f>
        <v>2.5169383146036841E-3</v>
      </c>
      <c r="E58" s="10">
        <f>IFERROR((((C58*$P$6)+(D58*$P$12))/$P$17),"0,00")</f>
        <v>2.5041623238626367E-3</v>
      </c>
      <c r="F58" s="10">
        <f>SUMIFS('[7]TABLO-1'!Q4:Q32873,'[7]TABLO-1'!H4:H32873,"=Dağıtım-AG",'[7]TABLO-1'!K4:K32873,"=Bildirimsiz",'[7]TABLO-1'!I4:I32873,"=Kısa",'[7]TABLO-1'!D4:D32873,"=LÜLEBURGAZ")/P7</f>
        <v>0</v>
      </c>
      <c r="G58" s="10">
        <f>SUMIFS('[7]TABLO-1'!R4:R32873,'[7]TABLO-1'!H4:H32873,"=Dağıtım-AG",'[7]TABLO-1'!K4:K32873,"=Bildirimsiz",'[7]TABLO-1'!I4:I32873,"=Kısa",'[7]TABLO-1'!D4:D32873,"=LÜLEBURGAZ")/P13</f>
        <v>9.3940195818999744E-3</v>
      </c>
      <c r="H58" s="10">
        <f>IFERROR((((F58*$P$7)+(G58*$P$13))/$P$20),"0,00")</f>
        <v>9.2135997923695825E-3</v>
      </c>
      <c r="I58" s="10">
        <f>SUMIFS('[7]TABLO-1'!S4:S32873,'[7]TABLO-1'!H4:H32873,"=Dağıtım-AG",'[7]TABLO-1'!K4:K32873,"=Bildirimsiz",'[7]TABLO-1'!I4:I32873,"=Kısa",'[7]TABLO-1'!D4:D32873,"=LÜLEBURGAZ")/P8</f>
        <v>0</v>
      </c>
      <c r="J58" s="10">
        <f>SUMIFS('[7]TABLO-1'!T4:T32873,'[7]TABLO-1'!H4:H32873,"=Dağıtım-AG",'[7]TABLO-1'!K4:K32873,"=Bildirimsiz",'[7]TABLO-1'!I4:I32873,"=Kısa",'[7]TABLO-1'!D4:D32873,"=LÜLEBURGAZ")/P14</f>
        <v>5.5163959546429666E-3</v>
      </c>
      <c r="K58" s="10">
        <f>IFERROR((((I58*$P$8)+(J58*$P$14))/$P$23),"0,00")</f>
        <v>5.329385640266469E-3</v>
      </c>
      <c r="L58" s="11">
        <f>IFERROR((((E58*$P$17)+(H58*$P$20)+(K58*$P$23))/$P$26),"0,00")</f>
        <v>3.4492549399009389E-3</v>
      </c>
    </row>
    <row r="59" spans="2:13" ht="15" customHeight="1" thickBot="1" x14ac:dyDescent="0.3">
      <c r="B59" s="30" t="s">
        <v>20</v>
      </c>
      <c r="C59" s="10">
        <f t="shared" ref="C59:L59" si="20">SUM(C56:C58)</f>
        <v>0.34133333333333332</v>
      </c>
      <c r="D59" s="10">
        <f t="shared" si="20"/>
        <v>0.39054719599466681</v>
      </c>
      <c r="E59" s="10">
        <f t="shared" si="20"/>
        <v>0.39029738619597437</v>
      </c>
      <c r="F59" s="10">
        <f t="shared" si="20"/>
        <v>0.12162162162162163</v>
      </c>
      <c r="G59" s="10">
        <f t="shared" si="20"/>
        <v>0.44495898385816351</v>
      </c>
      <c r="H59" s="10">
        <f t="shared" si="20"/>
        <v>0.43874902673241628</v>
      </c>
      <c r="I59" s="10">
        <f t="shared" si="20"/>
        <v>0.90611353711790388</v>
      </c>
      <c r="J59" s="10">
        <f t="shared" si="20"/>
        <v>1.088032485442844</v>
      </c>
      <c r="K59" s="10">
        <f t="shared" si="20"/>
        <v>1.0818652849740933</v>
      </c>
      <c r="L59" s="10">
        <f t="shared" si="20"/>
        <v>0.49247578686128318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375</v>
      </c>
      <c r="D65" s="27">
        <f>P12</f>
        <v>73502</v>
      </c>
      <c r="E65" s="27">
        <f>C65+D65</f>
        <v>73877</v>
      </c>
      <c r="F65" s="17">
        <f>P7</f>
        <v>148</v>
      </c>
      <c r="G65" s="27">
        <f>P13</f>
        <v>7558</v>
      </c>
      <c r="H65" s="17">
        <f>SUM(F65:G65)</f>
        <v>7706</v>
      </c>
      <c r="I65" s="17">
        <f>P8</f>
        <v>458</v>
      </c>
      <c r="J65" s="27">
        <f>P14</f>
        <v>13052</v>
      </c>
      <c r="K65" s="17">
        <f>SUM(I65:J65)</f>
        <v>13510</v>
      </c>
      <c r="L65" s="17">
        <f>H65+E65+K65</f>
        <v>95093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İşletmecisi",'[7]TABLO-1'!K4:K32873,"=Bildirimsiz",'[7]TABLO-1'!I4:I32873,"=Uzun",'[7]TABLO-1'!D4:D32873,"=EDİRNEMERKEZ")/P6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İşletmecisi",'[7]TABLO-1'!K4:K32873,"=Bildirimsiz",'[7]TABLO-1'!I4:I32873,"=Uzun",'[7]TABLO-1'!D4:D32873,"=EDİRNEMERKEZ")/P12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İşletmecisi",'[7]TABLO-1'!K4:K32873,"=Bildirimsiz",'[7]TABLO-1'!I4:I32873,"=Uzun",'[7]TABLO-1'!D4:D32873,"=EDİRNEMERKEZ")/P7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İşletmecisi",'[7]TABLO-1'!K4:K32873,"=Bildirimsiz",'[7]TABLO-1'!I4:I32873,"=Uzun",'[7]TABLO-1'!D4:D32873,"=EDİRNEMERKEZ")/P13</f>
        <v>#DIV/0!</v>
      </c>
      <c r="I6" s="10" t="str">
        <f>IFERROR((((G6*$P$7)+(H6*$P$13))/$P$20),"0,00")</f>
        <v>0,00</v>
      </c>
      <c r="J6" s="10">
        <f>SUMIFS('[7]TABLO-1'!Y4:Y32873,'[7]TABLO-1'!H4:H32873,"=İletim",'[7]TABLO-1'!J4:J32873,"=Şebeke İşletmecisi",'[7]TABLO-1'!K4:K32873,"=Bildirimsiz",'[7]TABLO-1'!I4:I32873,"=Uzun",'[7]TABLO-1'!D4:D32873,"=EDİRNEMERKEZ")/P8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İşletmecisi",'[7]TABLO-1'!K4:K32873,"=Bildirimsiz",'[7]TABLO-1'!I4:I32873,"=Uzun",'[7]TABLO-1'!D4:D32873,"=EDİRNEMERKEZ")/P14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494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Sebep",'[7]TABLO-1'!K4:K32873,"=Bildirimsiz",'[7]TABLO-1'!I4:I32873,"=Uzun",'[7]TABLO-1'!D4:D32873,"=EDİRNEMERKEZ")/P6</f>
        <v>0</v>
      </c>
      <c r="E7" s="10">
        <f>SUMIFS('[7]TABLO-1'!V4:V32873,'[7]TABLO-1'!H4:H32873,"=İletim",'[7]TABLO-1'!J4:J32873,"=Mücbir Sebep",'[7]TABLO-1'!K4:K32873,"=Bildirimsiz",'[7]TABLO-1'!I4:I32873,"=Uzun",'[7]TABLO-1'!D4:D32873,"=EDİRNEMERKEZ")/P12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Sebep",'[7]TABLO-1'!K4:K32873,"=Bildirimsiz",'[7]TABLO-1'!I4:I32873,"=Uzun",'[7]TABLO-1'!D4:D32873,"=EDİRNEMERKEZ")/P7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Sebep",'[7]TABLO-1'!K4:K32873,"=Bildirimsiz",'[7]TABLO-1'!I4:I32873,"=Uzun",'[7]TABLO-1'!D4:D32873,"=EDİRNEMERKEZ")/P13</f>
        <v>#DIV/0!</v>
      </c>
      <c r="I7" s="10" t="str">
        <f t="shared" ref="I7:I15" si="1">IFERROR((((G7*$P$7)+(H7*$P$13))/$P$20),"0,00")</f>
        <v>0,00</v>
      </c>
      <c r="J7" s="10">
        <f>SUMIFS('[7]TABLO-1'!Y4:Y32873,'[7]TABLO-1'!H4:H32873,"=İletim",'[7]TABLO-1'!J4:J32873,"=Mücbir Sebep",'[7]TABLO-1'!K4:K32873,"=Bildirimsiz",'[7]TABLO-1'!I4:I32873,"=Uzun",'[7]TABLO-1'!D4:D32873,"=EDİRNEMERKEZ")/P8</f>
        <v>0</v>
      </c>
      <c r="K7" s="10">
        <f>SUMIFS('[7]TABLO-1'!Z4:Z32873,'[7]TABLO-1'!H4:H32873,"=İletim",'[7]TABLO-1'!J4:J32873,"=Mücbir Sebep",'[7]TABLO-1'!K4:K32873,"=Bildirimsiz",'[7]TABLO-1'!I4:I32873,"=Uzun",'[7]TABLO-1'!D4:D32873,"=EDİRNEMERKEZ")/P14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İşletmecisi",'[7]TABLO-1'!K4:K32873,"=Bildirimsiz",'[7]TABLO-1'!I4:I32873,"=Uzun",'[7]TABLO-1'!D4:D32873,"=EDİRNEMERKEZ")/P6</f>
        <v>18.132624830760776</v>
      </c>
      <c r="E8" s="10">
        <f>SUMIFS('[7]TABLO-1'!V4:V32873,'[7]TABLO-1'!H4:H32873,"=Dağıtım-OG",'[7]TABLO-1'!J4:J32873,"=Şebeke İşletmecisi",'[7]TABLO-1'!K4:K32873,"=Bildirimsiz",'[7]TABLO-1'!I4:I32873,"=Uzun",'[7]TABLO-1'!D4:D32873,"=EDİRNEMERKEZ")/P12</f>
        <v>13.038601489499481</v>
      </c>
      <c r="F8" s="10">
        <f t="shared" si="0"/>
        <v>13.061338144756922</v>
      </c>
      <c r="G8" s="10" t="e">
        <f>SUMIFS('[7]TABLO-1'!W4:W32873,'[7]TABLO-1'!H4:H32873,"=Dağıtım-OG",'[7]TABLO-1'!J4:J32873,"=Şebeke İşletmecisi",'[7]TABLO-1'!K4:K32873,"=Bildirimsiz",'[7]TABLO-1'!I4:I32873,"=Uzun",'[7]TABLO-1'!D4:D32873,"=EDİRNEMERKEZ")/P7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İşletmecisi",'[7]TABLO-1'!K4:K32873,"=Bildirimsiz",'[7]TABLO-1'!I4:I32873,"=Uzun",'[7]TABLO-1'!D4:D32873,"=EDİRNEMERKEZ")/P13</f>
        <v>#DIV/0!</v>
      </c>
      <c r="I8" s="10" t="str">
        <f t="shared" si="1"/>
        <v>0,00</v>
      </c>
      <c r="J8" s="10">
        <f>SUMIFS('[7]TABLO-1'!Y4:Y32873,'[7]TABLO-1'!H4:H32873,"=Dağıtım-OG",'[7]TABLO-1'!J4:J32873,"=Şebeke İşletmecisi",'[7]TABLO-1'!K4:K32873,"=Bildirimsiz",'[7]TABLO-1'!I4:I32873,"=Uzun",'[7]TABLO-1'!D4:D32873,"=EDİRNEMERKEZ")/P8</f>
        <v>79.722108842664852</v>
      </c>
      <c r="K8" s="10">
        <f>SUMIFS('[7]TABLO-1'!Z4:Z32873,'[7]TABLO-1'!H4:H32873,"=Dağıtım-OG",'[7]TABLO-1'!J4:J32873,"=Şebeke İşletmecisi",'[7]TABLO-1'!K4:K32873,"=Bildirimsiz",'[7]TABLO-1'!I4:I32873,"=Uzun",'[7]TABLO-1'!D4:D32873,"=EDİRNEMERKEZ")/P14</f>
        <v>94.580940701465096</v>
      </c>
      <c r="L8" s="10">
        <f t="shared" si="2"/>
        <v>94.076087290337469</v>
      </c>
      <c r="M8" s="11">
        <f t="shared" si="3"/>
        <v>18.935927516812036</v>
      </c>
      <c r="O8" s="20" t="s">
        <v>36</v>
      </c>
      <c r="P8" s="53">
        <v>294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SUMIFS('[7]TABLO-1'!U4:U32873,'[7]TABLO-1'!H4:H32873,"=Dağıtım-OG",'[7]TABLO-1'!J4:J32873,"=Dışsal",'[7]TABLO-1'!K4:K32873,"=Bildirimsiz",'[7]TABLO-1'!I4:I32873,"=Uzun",'[7]TABLO-1'!D4:D32873,"=EDİRNEMERKEZ")/P6</f>
        <v>0</v>
      </c>
      <c r="E9" s="10">
        <f>SUMIFS('[7]TABLO-1'!V4:V32873,'[7]TABLO-1'!H4:H32873,"=Dağıtım-OG",'[7]TABLO-1'!J4:J32873,"=Dışsal",'[7]TABLO-1'!K4:K32873,"=Bildirimsiz",'[7]TABLO-1'!I4:I32873,"=Uzun",'[7]TABLO-1'!D4:D32873,"=EDİRNEMERKEZ")/P12</f>
        <v>0</v>
      </c>
      <c r="F9" s="10">
        <f t="shared" si="0"/>
        <v>0</v>
      </c>
      <c r="G9" s="10" t="e">
        <f>SUMIFS('[7]TABLO-1'!W4:W32873,'[7]TABLO-1'!H4:H32873,"=Dağıtım-OG",'[7]TABLO-1'!J4:J32873,"=Dışsal",'[7]TABLO-1'!K4:K32873,"=Bildirimsiz",'[7]TABLO-1'!I4:I32873,"=Uzun",'[7]TABLO-1'!D4:D32873,"=EDİRNEMERKEZ")/P7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SUMIFS('[7]TABLO-1'!X4:X32873,'[7]TABLO-1'!H4:H32873,"=Dağıtım-OG",'[7]TABLO-1'!J4:J32873,"=Dışsal",'[7]TABLO-1'!K4:K32873,"=Bildirimsiz",'[7]TABLO-1'!I4:I32873,"=Uzun",'[7]TABLO-1'!D4:D32873,"=EDİRNEMERKEZ")/P13</f>
        <v>#DIV/0!</v>
      </c>
      <c r="I9" s="10" t="str">
        <f t="shared" si="1"/>
        <v>0,00</v>
      </c>
      <c r="J9" s="10">
        <f>SUMIFS('[7]TABLO-1'!Y4:Y32873,'[7]TABLO-1'!H4:H32873,"=Dağıtım-OG",'[7]TABLO-1'!J4:J32873,"=Dışsal",'[7]TABLO-1'!K4:K32873,"=Bildirimsiz",'[7]TABLO-1'!I4:I32873,"=Uzun",'[7]TABLO-1'!D4:D32873,"=EDİRNEMERKEZ")/P8</f>
        <v>0</v>
      </c>
      <c r="K9" s="10">
        <f>SUMIFS('[7]TABLO-1'!Z4:Z32873,'[7]TABLO-1'!H4:H32873,"=Dağıtım-OG",'[7]TABLO-1'!J4:J32873,"=Dışsal",'[7]TABLO-1'!K4:K32873,"=Bildirimsiz",'[7]TABLO-1'!I4:I32873,"=Uzun",'[7]TABLO-1'!D4:D32873,"=EDİRNEMERKEZ")/P14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788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Sebep",'[7]TABLO-1'!K4:K32873,"=Bildirimsiz",'[7]TABLO-1'!I4:I32873,"=Uzun",'[7]TABLO-1'!D4:D32873,"=EDİRNEMERKEZ")/P6</f>
        <v>0</v>
      </c>
      <c r="E10" s="10">
        <f>SUMIFS('[7]TABLO-1'!V4:V32873,'[7]TABLO-1'!H4:H32873,"=Dağıtım-OG",'[7]TABLO-1'!J4:J32873,"=Mücbir Sebep",'[7]TABLO-1'!K4:K32873,"=Bildirimsiz",'[7]TABLO-1'!I4:I32873,"=Uzun",'[7]TABLO-1'!D4:D32873,"=EDİRNEMERKEZ")/P12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Sebep",'[7]TABLO-1'!K4:K32873,"=Bildirimsiz",'[7]TABLO-1'!I4:I32873,"=Uzun",'[7]TABLO-1'!D4:D32873,"=EDİRNEMERKEZ")/P7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Sebep",'[7]TABLO-1'!K4:K32873,"=Bildirimsiz",'[7]TABLO-1'!I4:I32873,"=Uzun",'[7]TABLO-1'!D4:D32873,"=EDİRNEMERKEZ")/P13</f>
        <v>#DIV/0!</v>
      </c>
      <c r="I10" s="10" t="str">
        <f t="shared" si="1"/>
        <v>0,00</v>
      </c>
      <c r="J10" s="10">
        <f>SUMIFS('[7]TABLO-1'!Y4:Y32873,'[7]TABLO-1'!H4:H32873,"=Dağıtım-OG",'[7]TABLO-1'!J4:J32873,"=Mücbir Sebep",'[7]TABLO-1'!K4:K32873,"=Bildirimsiz",'[7]TABLO-1'!I4:I32873,"=Uzun",'[7]TABLO-1'!D4:D32873,"=EDİRNEMERKEZ")/P8</f>
        <v>0</v>
      </c>
      <c r="K10" s="10">
        <f>SUMIFS('[7]TABLO-1'!Z4:Z32873,'[7]TABLO-1'!H4:H32873,"=Dağıtım-OG",'[7]TABLO-1'!J4:J32873,"=Mücbir Sebep",'[7]TABLO-1'!K4:K32873,"=Bildirimsiz",'[7]TABLO-1'!I4:I32873,"=Uzun",'[7]TABLO-1'!D4:D32873,"=EDİRNEMERKEZ")/P14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SUMIFS('[7]TABLO-1'!U4:U32873,'[7]TABLO-1'!H4:H32873,"=Dağıtım-OG",'[7]TABLO-1'!J4:J32873,"=Güvenlik",'[7]TABLO-1'!K4:K32873,"=Bildirimsiz",'[7]TABLO-1'!I4:I32873,"=Uzun",'[7]TABLO-1'!D4:D32873,"=EDİRNEMERKEZ")/P6</f>
        <v>0</v>
      </c>
      <c r="E11" s="10">
        <f>SUMIFS('[7]TABLO-1'!V4:V32873,'[7]TABLO-1'!H4:H32873,"=Dağıtım-OG",'[7]TABLO-1'!J4:J32873,"=Güvenlik",'[7]TABLO-1'!K4:K32873,"=Bildirimsiz",'[7]TABLO-1'!I4:I32873,"=Uzun",'[7]TABLO-1'!D4:D32873,"=EDİRNEMERKEZ")/P12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SUMIFS('[7]TABLO-1'!W4:W32873,'[7]TABLO-1'!H4:H32873,"=Dağıtım-OG",'[7]TABLO-1'!J4:J32873,"=Güvenlik",'[7]TABLO-1'!K4:K32873,"=Bildirimsiz",'[7]TABLO-1'!I4:I32873,"=Uzun",'[7]TABLO-1'!D4:D32873,"=EDİRNEMERKEZ")/P7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SUMIFS('[7]TABLO-1'!X4:X32873,'[7]TABLO-1'!H4:H32873,"=Dağıtım-OG",'[7]TABLO-1'!J4:J32873,"=Güvenlik",'[7]TABLO-1'!K4:K32873,"=Bildirimsiz",'[7]TABLO-1'!I4:I32873,"=Uzun",'[7]TABLO-1'!D4:D32873,"=EDİRNEMERKEZ")/P13</f>
        <v>#DIV/0!</v>
      </c>
      <c r="I11" s="10" t="str">
        <f t="shared" si="1"/>
        <v>0,00</v>
      </c>
      <c r="J11" s="10">
        <f>SUMIFS('[7]TABLO-1'!Y4:Y32873,'[7]TABLO-1'!H4:H32873,"=Dağıtım-OG",'[7]TABLO-1'!J4:J32873,"=Güvenlik",'[7]TABLO-1'!K4:K32873,"=Bildirimsiz",'[7]TABLO-1'!I4:I32873,"=Uzun",'[7]TABLO-1'!D4:D32873,"=EDİRNEMERKEZ")/P8</f>
        <v>0</v>
      </c>
      <c r="K11" s="10">
        <f>SUMIFS('[7]TABLO-1'!Z4:Z32873,'[7]TABLO-1'!H4:H32873,"=Dağıtım-OG",'[7]TABLO-1'!J4:J32873,"=Güvenlik",'[7]TABLO-1'!K4:K32873,"=Bildirimsiz",'[7]TABLO-1'!I4:I32873,"=Uzun",'[7]TABLO-1'!D4:D32873,"=EDİRNEMERKEZ")/P14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İşletmecisi",'[7]TABLO-1'!K4:K32873,"=Bildirimsiz",'[7]TABLO-1'!I4:I32873,"=Uzun",'[7]TABLO-1'!D4:D32873,"=EDİRNEMERKEZ")/P6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işletmecisi",'[7]TABLO-1'!K4:K32873,"=Bildirimsiz",'[7]TABLO-1'!I4:I32873,"=Uzun",'[7]TABLO-1'!D4:D32873,"=EDİRNEMERKEZ")/P12</f>
        <v>1.2102890014065855</v>
      </c>
      <c r="F12" s="10">
        <f t="shared" si="0"/>
        <v>1.2048869995029112</v>
      </c>
      <c r="G12" s="12" t="e">
        <f>SUMIFS('[7]TABLO-1'!W4:W32873,'[7]TABLO-1'!H4:H32873,"=Dağıtım-AG",'[7]TABLO-1'!J4:J32873,"=Şebeke İşletmecisi",'[7]TABLO-1'!K4:K32873,"=Bildirimsiz",'[7]TABLO-1'!I4:I32873,"=Uzun",'[7]TABLO-1'!D4:D32873,"=EDİRNEMERKEZ")/P7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İşletmecisi",'[7]TABLO-1'!K4:K32873,"=Bildirimsiz",'[7]TABLO-1'!I4:I32873,"=Uzun",'[7]TABLO-1'!D4:D32873,"=EDİRNEMERKEZ")/P13</f>
        <v>#DIV/0!</v>
      </c>
      <c r="I12" s="10" t="str">
        <f t="shared" si="1"/>
        <v>0,00</v>
      </c>
      <c r="J12" s="12">
        <f>SUMIFS('[7]TABLO-1'!Y4:Y32873,'[7]TABLO-1'!H4:H32873,"=Dağıtım-AG",'[7]TABLO-1'!J4:J32873,"=Şebeke İşletmecisi",'[7]TABLO-1'!K4:K32873,"=Bildirimsiz",'[7]TABLO-1'!I4:I32873,"=Uzun",'[7]TABLO-1'!D4:D32873,"=EDİRNEMERKEZ")/P8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İşletmecisi",'[7]TABLO-1'!K4:K32873,"=Bildirimsiz",'[7]TABLO-1'!I4:I32873,"=Uzun",'[7]TABLO-1'!D4:D32873,"=EDİRNEMERKEZ")/P14</f>
        <v>16.924693942354981</v>
      </c>
      <c r="L12" s="10">
        <f t="shared" si="2"/>
        <v>16.349649446913819</v>
      </c>
      <c r="M12" s="11">
        <f t="shared" si="3"/>
        <v>2.3030729650730195</v>
      </c>
      <c r="O12" s="6" t="s">
        <v>33</v>
      </c>
      <c r="P12" s="42">
        <v>110184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SUMIFS('[7]TABLO-1'!U4:U32873,'[7]TABLO-1'!H4:H32873,"=Dağıtım-AG",'[7]TABLO-1'!J4:J32873,"=Dışsal",'[7]TABLO-1'!K4:K32873,"=Bildirimsiz",'[7]TABLO-1'!I4:I32873,"=Uzun",'[7]TABLO-1'!D4:D32873,"=EDİRNEMERKEZ")/P6</f>
        <v>0</v>
      </c>
      <c r="E13" s="10">
        <f>SUMIFS('[7]TABLO-1'!V4:V32873,'[7]TABLO-1'!H4:H32873,"=Dağıtım-AG",'[7]TABLO-1'!J4:J32873,"=Dışsal",'[7]TABLO-1'!K4:K32873,"=Bildirimsiz",'[7]TABLO-1'!I4:I32873,"=Uzun",'[7]TABLO-1'!D4:D32873,"=EDİRNEMERKEZ")/P12</f>
        <v>0</v>
      </c>
      <c r="F13" s="10">
        <f t="shared" si="0"/>
        <v>0</v>
      </c>
      <c r="G13" s="12" t="e">
        <f>SUMIFS('[7]TABLO-1'!W4:W32873,'[7]TABLO-1'!H4:H32873,"=Dağıtım-AG",'[7]TABLO-1'!J4:J32873,"=Dışsal",'[7]TABLO-1'!K4:K32873,"=Bildirimsiz",'[7]TABLO-1'!I4:I32873,"=Uzun",'[7]TABLO-1'!D4:D32873,"=EDİRNEMERKEZ")/P7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SUMIFS('[7]TABLO-1'!X4:X32873,'[7]TABLO-1'!H4:H32873,"=Dağıtım-AG",'[7]TABLO-1'!J4:J32873,"=Dışsal",'[7]TABLO-1'!K4:K32873,"=Bildirimsiz",'[7]TABLO-1'!I4:I32873,"=Uzun",'[7]TABLO-1'!D4:D32873,"=EDİRNEMERKEZ")/P13</f>
        <v>#DIV/0!</v>
      </c>
      <c r="I13" s="10" t="str">
        <f t="shared" si="1"/>
        <v>0,00</v>
      </c>
      <c r="J13" s="12">
        <f>SUMIFS('[7]TABLO-1'!Y4:Y32873,'[7]TABLO-1'!H4:H32873,"=Dağıtım-AG",'[7]TABLO-1'!J4:J32873,"=Dışsal",'[7]TABLO-1'!K4:K32873,"=Bildirimsiz",'[7]TABLO-1'!I4:I32873,"=Uzun",'[7]TABLO-1'!D4:D32873,"=EDİRNEMERKEZ")/P8</f>
        <v>0</v>
      </c>
      <c r="K13" s="10">
        <f>SUMIFS('[7]TABLO-1'!Z4:Z32873,'[7]TABLO-1'!H4:H32873,"=Dağıtım-AG",'[7]TABLO-1'!J4:J32873,"=Dışsal",'[7]TABLO-1'!K4:K32873,"=Bildirimsiz",'[7]TABLO-1'!I4:I32873,"=Uzun",'[7]TABLO-1'!D4:D32873,"=EDİRNEMERKEZ")/P14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Sebep",'[7]TABLO-1'!K4:K32873,"=Bildirimsiz",'[7]TABLO-1'!I4:I32873,"=Uzun",'[7]TABLO-1'!D4:D32873,"=EDİRNEMERKEZ")/P6</f>
        <v>0</v>
      </c>
      <c r="E14" s="10">
        <f>SUMIFS('[7]TABLO-1'!V4:V32873,'[7]TABLO-1'!H4:H32873,"=Dağıtım-AG",'[7]TABLO-1'!J4:J32873,"=Mücbir Sebep",'[7]TABLO-1'!K4:K32873,"=Bildirimsiz",'[7]TABLO-1'!I4:I32873,"=Uzun",'[7]TABLO-1'!D4:D32873,"=EDİRNEMERKEZ")/P12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Sebep",'[7]TABLO-1'!K4:K32873,"=Bildirimsiz",'[7]TABLO-1'!I4:I32873,"=Uzun",'[7]TABLO-1'!D4:D32873,"=EDİRNEMERKEZ")/P7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Sebep",'[7]TABLO-1'!K4:K32873,"=Bildirimsiz",'[7]TABLO-1'!I4:I32873,"=Uzun",'[7]TABLO-1'!D4:D32873,"=EDİRNEMERKEZ")/P13</f>
        <v>#DIV/0!</v>
      </c>
      <c r="I14" s="10" t="str">
        <f t="shared" si="1"/>
        <v>0,00</v>
      </c>
      <c r="J14" s="12">
        <f>SUMIFS('[7]TABLO-1'!Y4:Y32873,'[7]TABLO-1'!H4:H32873,"=Dağıtım-AG",'[7]TABLO-1'!J4:J32873,"=Mücbir Sebep",'[7]TABLO-1'!K4:K32873,"=Bildirimsiz",'[7]TABLO-1'!I4:I32873,"=Uzun",'[7]TABLO-1'!D4:D32873,"=EDİRNEMERKEZ")/P8</f>
        <v>0</v>
      </c>
      <c r="K14" s="10">
        <f>SUMIFS('[7]TABLO-1'!Z4:Z32873,'[7]TABLO-1'!H4:H32873,"=Dağıtım-AG",'[7]TABLO-1'!J4:J32873,"=Mücbir Sebep",'[7]TABLO-1'!K4:K32873,"=Bildirimsiz",'[7]TABLO-1'!I4:I32873,"=Uzun",'[7]TABLO-1'!D4:D32873,"=EDİRNEMERKEZ")/P14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8359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SUMIFS('[7]TABLO-1'!U4:U32873,'[7]TABLO-1'!H4:H32873,"=Dağıtım-AG",'[7]TABLO-1'!J4:J32873,"=Güvenlik",'[7]TABLO-1'!K4:K32873,"=Bildirimsiz",'[7]TABLO-1'!I4:I32873,"=Uzun",'[7]TABLO-1'!D4:D32873,"=EDİRNEMERKEZ")/P6</f>
        <v>0</v>
      </c>
      <c r="E15" s="10">
        <f>SUMIFS('[7]TABLO-1'!V4:V32873,'[7]TABLO-1'!H4:H32873,"=Dağıtım-AG",'[7]TABLO-1'!J4:J32873,"=Güvenlik",'[7]TABLO-1'!K4:K32873,"=Bildirimsiz",'[7]TABLO-1'!I4:I32873,"=Uzun",'[7]TABLO-1'!D4:D32873,"=EDİRNEMERKEZ")/P12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SUMIFS('[7]TABLO-1'!W4:W32873,'[7]TABLO-1'!H4:H32873,"=Dağıtım-AG",'[7]TABLO-1'!J4:J32873,"=Güvenlik",'[7]TABLO-1'!K4:K32873,"=Bildirimsiz",'[7]TABLO-1'!I4:I32873,"=Uzun",'[7]TABLO-1'!D4:D32873,"=EDİRNEMERKEZ")/P7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SUMIFS('[7]TABLO-1'!X4:X32873,'[7]TABLO-1'!H4:H32873,"=Dağıtım-AG",'[7]TABLO-1'!J4:J32873,"=Güvenlik",'[7]TABLO-1'!K4:K32873,"=Bildirimsiz",'[7]TABLO-1'!I4:I32873,"=Uzun",'[7]TABLO-1'!D4:D32873,"=EDİRNEMERKEZ")/P13</f>
        <v>#DIV/0!</v>
      </c>
      <c r="I15" s="10" t="str">
        <f t="shared" si="1"/>
        <v>0,00</v>
      </c>
      <c r="J15" s="12">
        <f>SUMIFS('[7]TABLO-1'!Y4:Y32873,'[7]TABLO-1'!H4:H32873,"=Dağıtım-AG",'[7]TABLO-1'!J4:J32873,"=Güvenlik",'[7]TABLO-1'!K4:K32873,"=Bildirimsiz",'[7]TABLO-1'!I4:I32873,"=Uzun",'[7]TABLO-1'!D4:D32873,"=EDİRNEMERKEZ")/P8</f>
        <v>0</v>
      </c>
      <c r="K15" s="10">
        <f>SUMIFS('[7]TABLO-1'!Z4:Z32873,'[7]TABLO-1'!H4:H32873,"=Dağıtım-AG",'[7]TABLO-1'!J4:J32873,"=Güvenlik",'[7]TABLO-1'!K4:K32873,"=Bildirimsiz",'[7]TABLO-1'!I4:I32873,"=Uzun",'[7]TABLO-1'!D4:D32873,"=EDİRNEMERKEZ")/P14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118543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18.132624830760776</v>
      </c>
      <c r="E16" s="10">
        <f t="shared" si="4"/>
        <v>14.248890490906067</v>
      </c>
      <c r="F16" s="10">
        <f t="shared" si="4"/>
        <v>14.266225144259833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>
        <f>SUM(J6:J15)</f>
        <v>79.722108842664852</v>
      </c>
      <c r="K16" s="10">
        <f>SUM(K6:K15)</f>
        <v>111.50563464382007</v>
      </c>
      <c r="L16" s="10">
        <f>SUM(L6:L15)</f>
        <v>110.42573673725128</v>
      </c>
      <c r="M16" s="11">
        <f t="shared" si="4"/>
        <v>21.239000481885057</v>
      </c>
    </row>
    <row r="17" spans="2:16" ht="15" customHeight="1" x14ac:dyDescent="0.25">
      <c r="B17" s="29"/>
      <c r="O17" s="50" t="s">
        <v>37</v>
      </c>
      <c r="P17" s="47">
        <f>P6+P12</f>
        <v>110678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İşletmecisi",'[7]TABLO-1'!K4:K32873,"=Bildirimli",'[7]TABLO-1'!I4:I32873,"=Uzun",'[7]TABLO-1'!D4:D32873,"=EDİRNEMERKEZ")/P6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İşletmecisi",'[7]TABLO-1'!K4:K32873,"=Bildirimli",'[7]TABLO-1'!I4:I32873,"=Uzun",'[7]TABLO-1'!D4:D32873,"=EDİRNEMERKEZ")/P12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İşletmecisi",'[7]TABLO-1'!K4:K32873,"=Bildirimli",'[7]TABLO-1'!I4:I32873,"=Uzun",'[7]TABLO-1'!D4:D32873,"=EDİRNEMERKEZ")/P7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İşletmecisi",'[7]TABLO-1'!K4:K32873,"=Bildirimli",'[7]TABLO-1'!I4:I32873,"=Uzun",'[7]TABLO-1'!D4:D32873,"=EDİRNEMERKEZ")/P13</f>
        <v>#DIV/0!</v>
      </c>
      <c r="I21" s="10" t="str">
        <f>IFERROR((((G21*$P$7)+(H21*$P$13))/$P$20),"0,00")</f>
        <v>0,00</v>
      </c>
      <c r="J21" s="10">
        <f>SUMIFS('[7]TABLO-1'!Y4:Y32873,'[7]TABLO-1'!H4:H32873,"=İletim",'[7]TABLO-1'!J4:J32873,"=Şebeke İşletmecisi",'[7]TABLO-1'!K4:K32873,"=Bildirimli",'[7]TABLO-1'!I4:I32873,"=Uzun",'[7]TABLO-1'!D4:D32873,"=EDİRNEMERKEZ")/P8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İşletmecisi",'[7]TABLO-1'!K4:K32873,"=Bildirimli",'[7]TABLO-1'!I4:I32873,"=Uzun",'[7]TABLO-1'!D4:D32873,"=EDİRNEMERKEZ")/P14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İşletmecisi",'[7]TABLO-1'!K4:K32873,"=Bildirimli",'[7]TABLO-1'!I4:I32873,"=Uzun",'[7]TABLO-1'!D4:D32873,"=EDİRNEMERKEZ")/P6</f>
        <v>5.9781039137108563</v>
      </c>
      <c r="E22" s="10">
        <f>SUMIFS('[7]TABLO-1'!V4:V32873,'[7]TABLO-1'!H4:H32873,"=Dağıtım-OG",'[7]TABLO-1'!J4:J32873,"=Şebeke İşletmecisi",'[7]TABLO-1'!K4:K32873,"=Bildirimli",'[7]TABLO-1'!I4:I32873,"=Uzun",'[7]TABLO-1'!D4:D32873,"=EDİRNEMERKEZ")/P12</f>
        <v>16.502132644906872</v>
      </c>
      <c r="F22" s="10">
        <f t="shared" ref="F22:F25" si="5">IFERROR((((D22*$P$6)+(E22*$P$12))/$P$17),"0,00")</f>
        <v>16.455159712678146</v>
      </c>
      <c r="G22" s="10" t="e">
        <f>SUMIFS('[7]TABLO-1'!W4:W32873,'[7]TABLO-1'!H4:H32873,"=Dağıtım-OG",'[7]TABLO-1'!J4:J32873,"=Şebeke İşletmecisi",'[7]TABLO-1'!K4:K32873,"=Bildirimli",'[7]TABLO-1'!I4:I32873,"=Uzun",'[7]TABLO-1'!D4:D32873,"=EDİRNEMERKEZ")/P7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İşletmecisi",'[7]TABLO-1'!K4:K32873,"=Bildirimli",'[7]TABLO-1'!I4:I32873,"=Uzun",'[7]TABLO-1'!D4:D32873,"=EDİRNEMERKEZ")/P13</f>
        <v>#DIV/0!</v>
      </c>
      <c r="I22" s="10" t="str">
        <f t="shared" ref="I22:I25" si="6">IFERROR((((G22*$P$7)+(H22*$P$13))/$P$20),"0,00")</f>
        <v>0,00</v>
      </c>
      <c r="J22" s="10">
        <f>SUMIFS('[7]TABLO-1'!Y4:Y32873,'[7]TABLO-1'!H4:H32873,"=Dağıtım-OG",'[7]TABLO-1'!J4:J32873,"=Şebeke İşletmecisi",'[7]TABLO-1'!K4:K32873,"=Bildirimli",'[7]TABLO-1'!I4:I32873,"=Uzun",'[7]TABLO-1'!D4:D32873,"=EDİRNEMERKEZ")/P8</f>
        <v>4.3392290249443137</v>
      </c>
      <c r="K22" s="10">
        <f>SUMIFS('[7]TABLO-1'!Z4:Z32873,'[7]TABLO-1'!H4:H32873,"=Dağıtım-OG",'[7]TABLO-1'!J4:J32873,"=Şebeke İşletmecisi",'[7]TABLO-1'!K4:K32873,"=Bildirimli",'[7]TABLO-1'!I4:I32873,"=Uzun",'[7]TABLO-1'!D4:D32873,"=EDİRNEMERKEZ")/P14</f>
        <v>14.947930374572994</v>
      </c>
      <c r="L22" s="10">
        <f t="shared" ref="L22:L25" si="7">IFERROR((((J22*$P$8)+(K22*$P$14))/$P$23),"0,00")</f>
        <v>14.587482183565154</v>
      </c>
      <c r="M22" s="11">
        <f t="shared" ref="M22:M25" si="8">IFERROR((((F22*$P$17)+(I22*$P$20)+(L22*$P$23))/$P$26),"0,00")</f>
        <v>16.319729575836799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SUMIFS('[7]TABLO-1'!U4:U32873,'[7]TABLO-1'!H4:H32873,"=Dağıtım-OG",'[7]TABLO-1'!J4:J32873,"=Güvenlik",'[7]TABLO-1'!K4:K32873,"=Bildirimli",'[7]TABLO-1'!I4:I32873,"=Uzun",'[7]TABLO-1'!D4:D32873,"=EDİRNEMERKEZ")/P6</f>
        <v>0</v>
      </c>
      <c r="E23" s="10">
        <f>SUMIFS('[7]TABLO-1'!V4:V32873,'[7]TABLO-1'!H4:H32873,"=Dağıtım-OG",'[7]TABLO-1'!J4:J32873,"=Güvenlik",'[7]TABLO-1'!K4:K32873,"=Bildirimli",'[7]TABLO-1'!I4:I32873,"=Uzun",'[7]TABLO-1'!D4:D32873,"=EDİRNEMERKEZ")/P12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SUMIFS('[7]TABLO-1'!W4:W32873,'[7]TABLO-1'!H4:H32873,"=Dağıtım-OG",'[7]TABLO-1'!J4:J32873,"=Güvenlik",'[7]TABLO-1'!K4:K32873,"=Bildirimli",'[7]TABLO-1'!I4:I32873,"=Uzun",'[7]TABLO-1'!D4:D32873,"=EDİRNEMERKEZ")/P7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SUMIFS('[7]TABLO-1'!X4:X32873,'[7]TABLO-1'!H4:H32873,"=Dağıtım-OG",'[7]TABLO-1'!J4:J32873,"=Güvenlik",'[7]TABLO-1'!K4:K32873,"=Bildirimli",'[7]TABLO-1'!I4:I32873,"=Uzun",'[7]TABLO-1'!D4:D32873,"=EDİRNEMERKEZ")/P13</f>
        <v>#DIV/0!</v>
      </c>
      <c r="I23" s="10" t="str">
        <f t="shared" si="6"/>
        <v>0,00</v>
      </c>
      <c r="J23" s="10">
        <f>SUMIFS('[7]TABLO-1'!Y4:Y32873,'[7]TABLO-1'!H4:H32873,"=Dağıtım-OG",'[7]TABLO-1'!J4:J32873,"=Güvenlik",'[7]TABLO-1'!K4:K32873,"=Bildirimli",'[7]TABLO-1'!I4:I32873,"=Uzun",'[7]TABLO-1'!D4:D32873,"=EDİRNEMERKEZ")/P8</f>
        <v>0</v>
      </c>
      <c r="K23" s="10">
        <f>SUMIFS('[7]TABLO-1'!Z4:Z32873,'[7]TABLO-1'!H4:H32873,"=Dağıtım-OG",'[7]TABLO-1'!J4:J32873,"=Güvenlik",'[7]TABLO-1'!K4:K32873,"=Bildirimli",'[7]TABLO-1'!I4:I32873,"=Uzun",'[7]TABLO-1'!D4:D32873,"=EDİRNEMERKEZ")/P14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8653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İşletmecisi",'[7]TABLO-1'!K4:K32873,"=Bildirimli",'[7]TABLO-1'!I4:I32873,"=Uzun",'[7]TABLO-1'!D4:D32873,"=EDİRNEMERKEZ")/P6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İşletmecisi",'[7]TABLO-1'!K4:K32873,"=Bildirimli",'[7]TABLO-1'!I4:I32873,"=Uzun",'[7]TABLO-1'!D4:D32873,"=EDİRNEMERKEZ")/P12</f>
        <v>0.44689156320087797</v>
      </c>
      <c r="F24" s="10">
        <f t="shared" si="5"/>
        <v>0.44489690814548094</v>
      </c>
      <c r="G24" s="12" t="e">
        <f>SUMIFS('[7]TABLO-1'!W4:W32873,'[7]TABLO-1'!H4:H32873,"=Dağıtım-AG",'[7]TABLO-1'!J4:J32873,"=Şebeke İşletmecisi",'[7]TABLO-1'!K4:K32873,"=Bildirimli",'[7]TABLO-1'!I4:I32873,"=Uzun",'[7]TABLO-1'!D4:D32873,"=EDİRNEMERKEZ")/P7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İşletmecisi",'[7]TABLO-1'!K4:K32873,"=Bildirimli",'[7]TABLO-1'!I4:I32873,"=Uzun",'[7]TABLO-1'!D4:D32873,"=EDİRNEMERKEZ")/P13</f>
        <v>#DIV/0!</v>
      </c>
      <c r="I24" s="10" t="str">
        <f t="shared" si="6"/>
        <v>0,00</v>
      </c>
      <c r="J24" s="12">
        <f>SUMIFS('[7]TABLO-1'!Y4:Y32873,'[7]TABLO-1'!H4:H32873,"=Dağıtım-AG",'[7]TABLO-1'!J4:J32873,"=Şebeke İşletmecisi",'[7]TABLO-1'!K4:K32873,"=Bildirimli",'[7]TABLO-1'!I4:I32873,"=Uzun",'[7]TABLO-1'!D4:D32873,"=EDİRNEMERKEZ")/P8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İşletmecisi",'[7]TABLO-1'!K4:K32873,"=Bildirimli",'[7]TABLO-1'!I4:I32873,"=Uzun",'[7]TABLO-1'!D4:D32873,"=EDİRNEMERKEZ")/P14</f>
        <v>3.5123539498232494</v>
      </c>
      <c r="L24" s="10">
        <f t="shared" si="7"/>
        <v>3.393015909692886</v>
      </c>
      <c r="M24" s="11">
        <f t="shared" si="8"/>
        <v>0.65867265560749577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SUMIFS('[7]TABLO-1'!U4:U32873,'[7]TABLO-1'!H4:H32873,"=Dağıtım-AG",'[7]TABLO-1'!J4:J32873,"=Güvenlik",'[7]TABLO-1'!K4:K32873,"=Bildirimli",'[7]TABLO-1'!I4:I32873,"=Uzun",'[7]TABLO-1'!D4:D32873,"=EDİRNEMERKEZ")/P6</f>
        <v>0</v>
      </c>
      <c r="E25" s="10">
        <f>SUMIFS('[7]TABLO-1'!V4:V32873,'[7]TABLO-1'!H4:H32873,"=Dağıtım-AG",'[7]TABLO-1'!J4:J32873,"=Güvenlik",'[7]TABLO-1'!K4:K32873,"=Bildirimli",'[7]TABLO-1'!I4:I32873,"=Uzun",'[7]TABLO-1'!D4:D32873,"=EDİRNEMERKEZ")/P12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SUMIFS('[7]TABLO-1'!W4:W32873,'[7]TABLO-1'!H4:H32873,"=Dağıtım-AG",'[7]TABLO-1'!J4:J32873,"=Güvenlik",'[7]TABLO-1'!K4:K32873,"=Bildirimli",'[7]TABLO-1'!I4:I32873,"=Uzun",'[7]TABLO-1'!D4:D32873,"=EDİRNEMERKEZ")/P7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SUMIFS('[7]TABLO-1'!X4:X32873,'[7]TABLO-1'!H4:H32873,"=Dağıtım-AG",'[7]TABLO-1'!J4:J32873,"=Güvenlik",'[7]TABLO-1'!K4:K32873,"=Bildirimli",'[7]TABLO-1'!I4:I32873,"=Uzun",'[7]TABLO-1'!D4:D32873,"=EDİRNEMERKEZ")/P13</f>
        <v>#DIV/0!</v>
      </c>
      <c r="I25" s="10" t="str">
        <f t="shared" si="6"/>
        <v>0,00</v>
      </c>
      <c r="J25" s="12">
        <f>SUMIFS('[7]TABLO-1'!Y4:Y32873,'[7]TABLO-1'!H4:H32873,"=Dağıtım-AG",'[7]TABLO-1'!J4:J32873,"=Güvenlik",'[7]TABLO-1'!K4:K32873,"=Bildirimli",'[7]TABLO-1'!I4:I32873,"=Uzun",'[7]TABLO-1'!D4:D32873,"=EDİRNEMERKEZ")/P8</f>
        <v>0</v>
      </c>
      <c r="K25" s="10">
        <f>SUMIFS('[7]TABLO-1'!Z4:Z32873,'[7]TABLO-1'!H4:H32873,"=Dağıtım-AG",'[7]TABLO-1'!J4:J32873,"=Güvenlik",'[7]TABLO-1'!K4:K32873,"=Bildirimli",'[7]TABLO-1'!I4:I32873,"=Uzun",'[7]TABLO-1'!D4:D32873,"=EDİRNEMERKEZ")/P14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5.9781039137108563</v>
      </c>
      <c r="E26" s="10">
        <f t="shared" ref="E26:M26" si="9">SUM(E21:E25)</f>
        <v>16.949024208107751</v>
      </c>
      <c r="F26" s="10">
        <f t="shared" si="9"/>
        <v>16.900056620823626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>
        <f t="shared" si="9"/>
        <v>4.3392290249443137</v>
      </c>
      <c r="K26" s="10">
        <f t="shared" si="9"/>
        <v>18.460284324396245</v>
      </c>
      <c r="L26" s="10">
        <f t="shared" si="9"/>
        <v>17.980498093258038</v>
      </c>
      <c r="M26" s="11">
        <f t="shared" si="9"/>
        <v>16.978402231444296</v>
      </c>
      <c r="O26" s="43" t="s">
        <v>22</v>
      </c>
      <c r="P26" s="44">
        <f>P20+P17+P23</f>
        <v>119331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İşletmecisi",'[7]TABLO-1'!K4:K32873,"=Bildirimsiz",'[7]TABLO-1'!I4:I32873,"=Uzun",'[7]TABLO-1'!D4:D32873,"=EDİRNEMERKEZ")/P6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İşletmecisi",'[7]TABLO-1'!K4:K32873,"=Bildirimsiz",'[7]TABLO-1'!I4:I32873,"=Uzun",'[7]TABLO-1'!D4:D32873,"=EDİRNEMERKEZ")/P12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İşletmecisi",'[7]TABLO-1'!K4:K32873,"=Bildirimsiz",'[7]TABLO-1'!I4:I32873,"=Uzun",'[7]TABLO-1'!D4:D32873,"=EDİRNEMERKEZ")/P7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İşletmecisi",'[7]TABLO-1'!K4:K32873,"=Bildirimsiz",'[7]TABLO-1'!I4:I32873,"=Uzun",'[7]TABLO-1'!D4:D32873,"=EDİRNEMERKEZ")/P13</f>
        <v>#DIV/0!</v>
      </c>
      <c r="I31" s="10" t="str">
        <f>IFERROR((((G31*$P$7)+(H31*$P$13))/$P$20),"0,00")</f>
        <v>0,00</v>
      </c>
      <c r="J31" s="10">
        <f>SUMIFS('[7]TABLO-1'!S4:S32873,'[7]TABLO-1'!H4:H32873,"=İletim",'[7]TABLO-1'!J4:J32873,"=Şebeke İşletmecisi",'[7]TABLO-1'!K4:K32873,"=Bildirimsiz",'[7]TABLO-1'!I4:I32873,"=Uzun",'[7]TABLO-1'!D4:D32873,"=EDİRNEMERKEZ")/P8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İşletmecisi",'[7]TABLO-1'!K4:K32873,"=bildirimsiz",'[7]TABLO-1'!I4:I32873,"=Uzun",'[7]TABLO-1'!D4:D32873,"=EDİRNEMERKEZ")/P14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Sebep",'[7]TABLO-1'!K4:K32873,"=Bildirimsiz",'[7]TABLO-1'!I4:I32873,"=Uzun",'[7]TABLO-1'!D4:D32873,"=EDİRNEMERKEZ")/P6</f>
        <v>0</v>
      </c>
      <c r="E32" s="10">
        <f>SUMIFS('[7]TABLO-1'!P4:P32873,'[7]TABLO-1'!H4:H32873,"=İletim",'[7]TABLO-1'!J4:J32873,"=Mücbir Sebep",'[7]TABLO-1'!K4:K32873,"=Bildirimsiz",'[7]TABLO-1'!I4:I32873,"=Uzun",'[7]TABLO-1'!D4:D32873,"=EDİRNEMERKEZ")/P12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Sebep",'[7]TABLO-1'!K4:K32873,"=Bildirimsiz",'[7]TABLO-1'!I4:I32873,"=Uzun",'[7]TABLO-1'!D4:D32873,"=EDİRNEMERKEZ")/P7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Sebep",'[7]TABLO-1'!K4:K32873,"=Bildirimsiz",'[7]TABLO-1'!I4:I32873,"=Uzun",'[7]TABLO-1'!D4:D32873,"=EDİRNEMERKEZ")/P13</f>
        <v>#DIV/0!</v>
      </c>
      <c r="I32" s="10" t="str">
        <f t="shared" ref="I32:I40" si="11">IFERROR((((G32*$P$7)+(H32*$P$13))/$P$20),"0,00")</f>
        <v>0,00</v>
      </c>
      <c r="J32" s="10">
        <f>SUMIFS('[7]TABLO-1'!S4:S32873,'[7]TABLO-1'!H4:H32873,"=İletim",'[7]TABLO-1'!J4:J32873,"=Mücbir Sebep",'[7]TABLO-1'!K4:K32873,"=Bildirimsiz",'[7]TABLO-1'!I4:I32873,"=Uzun",'[7]TABLO-1'!D4:D32873,"=EDİRNEMERKEZ")/P8</f>
        <v>0</v>
      </c>
      <c r="K32" s="10">
        <f>SUMIFS('[7]TABLO-1'!T4:T32873,'[7]TABLO-1'!H4:H32873,"=İletim",'[7]TABLO-1'!J4:J32873,"=Mücbir Sebep",'[7]TABLO-1'!K4:K32873,"=bildirimsiz",'[7]TABLO-1'!I4:I32873,"=Uzun",'[7]TABLO-1'!D4:D32873,"=EDİRNEMERKEZ")/P14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İşletmecisi",'[7]TABLO-1'!K4:K32873,"=Bildirimsiz",'[7]TABLO-1'!I4:I32873,"=Uzun",'[7]TABLO-1'!D4:D32873,"=EDİRNEMERKEZ")/P6</f>
        <v>0.45748987854251011</v>
      </c>
      <c r="E33" s="10">
        <f>SUMIFS('[7]TABLO-1'!P4:P32873,'[7]TABLO-1'!H4:H32873,"=Dağıtım-OG",'[7]TABLO-1'!J4:J32873,"=Şebeke İşletmecisi",'[7]TABLO-1'!K4:K32873,"=Bildirimsiz",'[7]TABLO-1'!I4:I32873,"=Uzun",'[7]TABLO-1'!D4:D32873,"=EDİRNEMERKEZ")/P12</f>
        <v>0.46754519712480941</v>
      </c>
      <c r="F33" s="10">
        <f t="shared" si="10"/>
        <v>0.46750031623267496</v>
      </c>
      <c r="G33" s="10" t="e">
        <f>SUMIFS('[7]TABLO-1'!Q4:Q32873,'[7]TABLO-1'!H4:H32873,"=Dağıtım-OG",'[7]TABLO-1'!J4:J32873,"=Şebeke İşletmecisi",'[7]TABLO-1'!K4:K32873,"=Bildirimsiz",'[7]TABLO-1'!I4:I32873,"=Uzun",'[7]TABLO-1'!D4:D32873,"=EDİRNEMERKEZ")/P7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İşletmecisi",'[7]TABLO-1'!K4:K32873,"=Bildirimsiz",'[7]TABLO-1'!I4:I32873,"=Uzun",'[7]TABLO-1'!D4:D32873,"=EDİRNEMERKEZ")/P13</f>
        <v>#DIV/0!</v>
      </c>
      <c r="I33" s="10" t="str">
        <f t="shared" si="11"/>
        <v>0,00</v>
      </c>
      <c r="J33" s="10">
        <f>SUMIFS('[7]TABLO-1'!S4:S32873,'[7]TABLO-1'!H4:H32873,"=Dağıtım-OG",'[7]TABLO-1'!J4:J32873,"=Şebeke İşletmecisi",'[7]TABLO-1'!K4:K32873,"=Bildirimsiz",'[7]TABLO-1'!I4:I32873,"=Uzun",'[7]TABLO-1'!D4:D32873,"=EDİRNEMERKEZ")/P8</f>
        <v>1.129251700680272</v>
      </c>
      <c r="K33" s="10">
        <f>SUMIFS('[7]TABLO-1'!T4:T32873,'[7]TABLO-1'!H4:H32873,"=Dağıtım-OG",'[7]TABLO-1'!J4:J32873,"=Şebeke İşletmecisi",'[7]TABLO-1'!K4:K32873,"=bildirimsiz",'[7]TABLO-1'!I4:I32873,"=Uzun",'[7]TABLO-1'!D4:D32873,"=EDİRNEMERKEZ")/P14</f>
        <v>1.6204091398492642</v>
      </c>
      <c r="L33" s="10">
        <f t="shared" si="12"/>
        <v>1.6037212527447129</v>
      </c>
      <c r="M33" s="11">
        <f t="shared" si="13"/>
        <v>0.54989064031978274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SUMIFS('[7]TABLO-1'!O4:O32873,'[7]TABLO-1'!H4:H32873,"=Dağıtım-OG",'[7]TABLO-1'!J4:J32873,"=Dışsal",'[7]TABLO-1'!K4:K32873,"=Bildirimsiz",'[7]TABLO-1'!I4:I32873,"=Uzun",'[7]TABLO-1'!D4:D32873,"=EDİRNEMERKEZ")/P6</f>
        <v>0</v>
      </c>
      <c r="E34" s="10">
        <f>SUMIFS('[7]TABLO-1'!P4:P32873,'[7]TABLO-1'!H4:H32873,"=Dağıtım-OG",'[7]TABLO-1'!J4:J32873,"=Dışsal",'[7]TABLO-1'!K4:K32873,"=Bildirimsiz",'[7]TABLO-1'!I4:I32873,"=Uzun",'[7]TABLO-1'!D4:D32873,"=EDİRNEMERKEZ")/P12</f>
        <v>0</v>
      </c>
      <c r="F34" s="10">
        <f t="shared" si="10"/>
        <v>0</v>
      </c>
      <c r="G34" s="10" t="e">
        <f>SUMIFS('[7]TABLO-1'!Q4:Q32873,'[7]TABLO-1'!H4:H32873,"=Dağıtım-OG",'[7]TABLO-1'!J4:J32873,"=Dışsal",'[7]TABLO-1'!K4:K32873,"=Bildirimsiz",'[7]TABLO-1'!I4:I32873,"=Uzun",'[7]TABLO-1'!D4:D32873,"=EDİRNEMERKEZ")/P7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SUMIFS('[7]TABLO-1'!R4:R32873,'[7]TABLO-1'!H4:H32873,"=Dağıtım-OG",'[7]TABLO-1'!J4:J32873,"=Dışsal",'[7]TABLO-1'!K4:K32873,"=Bildirimsiz",'[7]TABLO-1'!I4:I32873,"=Uzun",'[7]TABLO-1'!D4:D32873,"=EDİRNEMERKEZ")/P13</f>
        <v>#DIV/0!</v>
      </c>
      <c r="I34" s="10" t="str">
        <f t="shared" si="11"/>
        <v>0,00</v>
      </c>
      <c r="J34" s="10">
        <f>SUMIFS('[7]TABLO-1'!S4:S32873,'[7]TABLO-1'!H4:H32873,"=Dağıtım-OG",'[7]TABLO-1'!J4:J32873,"=Dışsal",'[7]TABLO-1'!K4:K32873,"=Bildirimsiz",'[7]TABLO-1'!I4:I32873,"=Uzun",'[7]TABLO-1'!D4:D32873,"=EDİRNEMERKEZ")/P8</f>
        <v>0</v>
      </c>
      <c r="K34" s="10">
        <f>SUMIFS('[7]TABLO-1'!T4:T32873,'[7]TABLO-1'!H4:H32873,"=Dağıtım-OG",'[7]TABLO-1'!J4:J32873,"=Dışsal",'[7]TABLO-1'!K4:K32873,"=bildirimsiz",'[7]TABLO-1'!I4:I32873,"=Uzun",'[7]TABLO-1'!D4:D32873,"=EDİRNEMERKEZ")/P14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Sebep",'[7]TABLO-1'!K4:K32873,"=Bildirimsiz",'[7]TABLO-1'!I4:I32873,"=Uzun",'[7]TABLO-1'!D4:D32873,"=EDİRNEMERKEZ")/P6</f>
        <v>0</v>
      </c>
      <c r="E35" s="10">
        <f>SUMIFS('[7]TABLO-1'!P4:P32873,'[7]TABLO-1'!H4:H32873,"=Dağıtım-OG",'[7]TABLO-1'!J4:J32873,"=Mücbir Sebep",'[7]TABLO-1'!K4:K32873,"=Bildirimsiz",'[7]TABLO-1'!I4:I32873,"=Uzun",'[7]TABLO-1'!D4:D32873,"=EDİRNEMERKEZ")/P12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Sebep",'[7]TABLO-1'!K4:K32873,"=Bildirimsiz",'[7]TABLO-1'!I4:I32873,"=Uzun",'[7]TABLO-1'!D4:D32873,"=EDİRNEMERKEZ")/P7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Sebep",'[7]TABLO-1'!K4:K32873,"=Bildirimsiz",'[7]TABLO-1'!I4:I32873,"=Uzun",'[7]TABLO-1'!D4:D32873,"=EDİRNEMERKEZ")/P13</f>
        <v>#DIV/0!</v>
      </c>
      <c r="I35" s="10" t="str">
        <f t="shared" si="11"/>
        <v>0,00</v>
      </c>
      <c r="J35" s="10">
        <f>SUMIFS('[7]TABLO-1'!S4:S32873,'[7]TABLO-1'!H4:H32873,"=Dağıtım-OG",'[7]TABLO-1'!J4:J32873,"=Mücbir Sebep",'[7]TABLO-1'!K4:K32873,"=Bildirimsiz",'[7]TABLO-1'!I4:I32873,"=Uzun",'[7]TABLO-1'!D4:D32873,"=EDİRNEMERKEZ")/P8</f>
        <v>0</v>
      </c>
      <c r="K35" s="10">
        <f>SUMIFS('[7]TABLO-1'!T4:T32873,'[7]TABLO-1'!H4:H32873,"=Dağıtım-OG",'[7]TABLO-1'!J4:J32873,"=Mücbir Sebep",'[7]TABLO-1'!K4:K32873,"=bildirimsiz",'[7]TABLO-1'!I4:I32873,"=Uzun",'[7]TABLO-1'!D4:D32873,"=EDİRNEMERKEZ")/P14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SUMIFS('[7]TABLO-1'!O4:O32873,'[7]TABLO-1'!H4:H32873,"=Dağıtım-OG",'[7]TABLO-1'!J4:J32873,"=Güvenlik",'[7]TABLO-1'!K4:K32873,"=Bildirimsiz",'[7]TABLO-1'!I4:I32873,"=Uzun",'[7]TABLO-1'!D4:D32873,"=EDİRNEMERKEZ")/P6</f>
        <v>0</v>
      </c>
      <c r="E36" s="10">
        <f>SUMIFS('[7]TABLO-1'!P4:P32873,'[7]TABLO-1'!H4:H32873,"=Dağıtım-OG",'[7]TABLO-1'!J4:J32873,"=Güvenlik",'[7]TABLO-1'!K4:K32873,"=Bildirimsiz",'[7]TABLO-1'!I4:I32873,"=Uzun",'[7]TABLO-1'!D4:D32873,"=EDİRNEMERKEZ")/P12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SUMIFS('[7]TABLO-1'!Q4:Q32873,'[7]TABLO-1'!H4:H32873,"=Dağıtım-OG",'[7]TABLO-1'!J4:J32873,"=Güvenlik",'[7]TABLO-1'!K4:K32873,"=Bildirimsiz",'[7]TABLO-1'!I4:I32873,"=Uzun",'[7]TABLO-1'!D4:D32873,"=EDİRNEMERKEZ")/P7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SUMIFS('[7]TABLO-1'!R4:R32873,'[7]TABLO-1'!H4:H32873,"=Dağıtım-OG",'[7]TABLO-1'!J4:J32873,"=Güvenlik",'[7]TABLO-1'!K4:K32873,"=Bildirimsiz",'[7]TABLO-1'!I4:I32873,"=Uzun",'[7]TABLO-1'!D4:D32873,"=EDİRNEMERKEZ")/P13</f>
        <v>#DIV/0!</v>
      </c>
      <c r="I36" s="10" t="str">
        <f t="shared" si="11"/>
        <v>0,00</v>
      </c>
      <c r="J36" s="10">
        <f>SUMIFS('[7]TABLO-1'!S4:S32873,'[7]TABLO-1'!H4:H32873,"=Dağıtım-OG",'[7]TABLO-1'!J4:J32873,"=Güvenlik",'[7]TABLO-1'!K4:K32873,"=Bildirimsiz",'[7]TABLO-1'!I4:I32873,"=Uzun",'[7]TABLO-1'!D4:D32873,"=EDİRNEMERKEZ")/P8</f>
        <v>0</v>
      </c>
      <c r="K36" s="10">
        <f>SUMIFS('[7]TABLO-1'!T4:T32873,'[7]TABLO-1'!H4:H32873,"=Dağıtım-OG",'[7]TABLO-1'!J4:J32873,"=Güvenlik",'[7]TABLO-1'!K4:K32873,"=bildirimsiz",'[7]TABLO-1'!I4:I32873,"=Uzun",'[7]TABLO-1'!D4:D32873,"=EDİRNEMERKEZ")/P14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İşletmecisi",'[7]TABLO-1'!K4:K32873,"=Bildirimsiz",'[7]TABLO-1'!I4:I32873,"=Uzun",'[7]TABLO-1'!D4:D32873,"=EDİRNEMERKEZ")/P6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İşletmecisi",'[7]TABLO-1'!K4:K32873,"=Bildirimsiz",'[7]TABLO-1'!I4:I32873,"=Uzun",'[7]TABLO-1'!D4:D32873,"=EDİRNEMERKEZ")/P12</f>
        <v>4.3781311261163143E-2</v>
      </c>
      <c r="F37" s="10">
        <f t="shared" si="10"/>
        <v>4.358589782974033E-2</v>
      </c>
      <c r="G37" s="12" t="e">
        <f>SUMIFS('[7]TABLO-1'!Q4:Q32873,'[7]TABLO-1'!H4:H32873,"=Dağıtım-AG",'[7]TABLO-1'!J4:J32873,"=Şebeke İşletmecisi",'[7]TABLO-1'!K4:K32873,"=Bildirimsiz",'[7]TABLO-1'!I4:I32873,"=Uzun",'[7]TABLO-1'!D4:D32873,"=EDİRNEMERKEZ")/P7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İşletmecisi",'[7]TABLO-1'!K4:K32873,"=Bildirimsiz",'[7]TABLO-1'!I4:I32873,"=Uzun",'[7]TABLO-1'!D4:D32873,"=EDİRNEMERKEZ")/P13</f>
        <v>#DIV/0!</v>
      </c>
      <c r="I37" s="10" t="str">
        <f t="shared" si="11"/>
        <v>0,00</v>
      </c>
      <c r="J37" s="12">
        <f>SUMIFS('[7]TABLO-1'!S4:S32873,'[7]TABLO-1'!H4:H32873,"=Dağıtım-AG",'[7]TABLO-1'!J4:J32873,"=Şebeke İşletmecisi",'[7]TABLO-1'!K4:K32873,"=Bildirimsiz",'[7]TABLO-1'!I4:I32873,"=Uzun",'[7]TABLO-1'!D4:D32873,"=EDİRNEMERKEZ")/P8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İşletmecisi",'[7]TABLO-1'!K4:K32873,"=bildirimsiz",'[7]TABLO-1'!I4:I32873,"=Uzun",'[7]TABLO-1'!D4:D32873,"=EDİRNEMERKEZ")/P14</f>
        <v>0.15288910156717311</v>
      </c>
      <c r="L37" s="10">
        <f t="shared" si="12"/>
        <v>0.14769444123425401</v>
      </c>
      <c r="M37" s="11">
        <f t="shared" si="13"/>
        <v>5.1135078060185538E-2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SUMIFS('[7]TABLO-1'!O4:O32873,'[7]TABLO-1'!H4:H32873,"=Dağıtım-AG",'[7]TABLO-1'!J4:J32873,"=Dışsal",'[7]TABLO-1'!K4:K32873,"=Bildirimsiz",'[7]TABLO-1'!I4:I32873,"=Uzun",'[7]TABLO-1'!D4:D32873,"=EDİRNEMERKEZ")/P6</f>
        <v>0</v>
      </c>
      <c r="E38" s="10">
        <f>SUMIFS('[7]TABLO-1'!P4:P32873,'[7]TABLO-1'!H4:H32873,"=Dağıtım-AG",'[7]TABLO-1'!J4:J32873,"=Dışsal",'[7]TABLO-1'!K4:K32873,"=Bildirimsiz",'[7]TABLO-1'!I4:I32873,"=Uzun",'[7]TABLO-1'!D4:D32873,"=EDİRNEMERKEZ")/P12</f>
        <v>0</v>
      </c>
      <c r="F38" s="10">
        <f t="shared" si="10"/>
        <v>0</v>
      </c>
      <c r="G38" s="12" t="e">
        <f>SUMIFS('[7]TABLO-1'!Q4:Q32873,'[7]TABLO-1'!H4:H32873,"=Dağıtım-AG",'[7]TABLO-1'!J4:J32873,"=Dışsal",'[7]TABLO-1'!K4:K32873,"=Bildirimsiz",'[7]TABLO-1'!I4:I32873,"=Uzun",'[7]TABLO-1'!D4:D32873,"=EDİRNEMERKEZ")/P7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SUMIFS('[7]TABLO-1'!R4:R32873,'[7]TABLO-1'!H4:H32873,"=Dağıtım-AG",'[7]TABLO-1'!J4:J32873,"=Dışsal",'[7]TABLO-1'!K4:K32873,"=Bildirimsiz",'[7]TABLO-1'!I4:I32873,"=Uzun",'[7]TABLO-1'!D4:D32873,"=EDİRNEMERKEZ")/P13</f>
        <v>#DIV/0!</v>
      </c>
      <c r="I38" s="10" t="str">
        <f t="shared" si="11"/>
        <v>0,00</v>
      </c>
      <c r="J38" s="12">
        <f>SUMIFS('[7]TABLO-1'!S4:S32873,'[7]TABLO-1'!H4:H32873,"=Dağıtım-AG",'[7]TABLO-1'!J4:J32873,"=Dışsal",'[7]TABLO-1'!K4:K32873,"=Bildirimsiz",'[7]TABLO-1'!I4:I32873,"=Uzun",'[7]TABLO-1'!D4:D32873,"=EDİRNEMERKEZ")/P8</f>
        <v>0</v>
      </c>
      <c r="K38" s="10">
        <f>SUMIFS('[7]TABLO-1'!T4:T32873,'[7]TABLO-1'!H4:H32873,"=Dağıtım-AG",'[7]TABLO-1'!J4:J32873,"=Dışsal",'[7]TABLO-1'!K4:K32873,"=bildirimsiz",'[7]TABLO-1'!I4:I32873,"=Uzun",'[7]TABLO-1'!D4:D32873,"=EDİRNEMERKEZ")/P14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Sebep",'[7]TABLO-1'!K4:K32873,"=Bildirimsiz",'[7]TABLO-1'!I4:I32873,"=Uzun",'[7]TABLO-1'!D4:D32873,"=EDİRNEMERKEZ")/P6</f>
        <v>0</v>
      </c>
      <c r="E39" s="10">
        <f>SUMIFS('[7]TABLO-1'!P4:P32873,'[7]TABLO-1'!H4:H32873,"=Dağıtım-AG",'[7]TABLO-1'!J4:J32873,"=Mücbir Sebep",'[7]TABLO-1'!K4:K32873,"=Bildirimsiz",'[7]TABLO-1'!I4:I32873,"=Uzun",'[7]TABLO-1'!D4:D32873,"=EDİRNEMERKEZ")/P12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Sebep",'[7]TABLO-1'!K4:K32873,"=Bildirimsiz",'[7]TABLO-1'!I4:I32873,"=Uzun",'[7]TABLO-1'!D4:D32873,"=EDİRNEMERKEZ")/P7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Sebep",'[7]TABLO-1'!K4:K32873,"=Bildirimsiz",'[7]TABLO-1'!I4:I32873,"=Uzun",'[7]TABLO-1'!D4:D32873,"=EDİRNEMERKEZ")/P13</f>
        <v>#DIV/0!</v>
      </c>
      <c r="I39" s="10" t="str">
        <f t="shared" si="11"/>
        <v>0,00</v>
      </c>
      <c r="J39" s="12">
        <f>SUMIFS('[7]TABLO-1'!S4:S32873,'[7]TABLO-1'!H4:H32873,"=Dağıtım-AG",'[7]TABLO-1'!J4:J32873,"=Mücbir Sebep",'[7]TABLO-1'!K4:K32873,"=Bildirimsiz",'[7]TABLO-1'!I4:I32873,"=Uzun",'[7]TABLO-1'!D4:D32873,"=EDİRNEMERKEZ")/P8</f>
        <v>0</v>
      </c>
      <c r="K39" s="10">
        <f>SUMIFS('[7]TABLO-1'!T4:T32873,'[7]TABLO-1'!H4:H32873,"=Dağıtım-AG",'[7]TABLO-1'!J4:J32873,"=Mücbir Sebep",'[7]TABLO-1'!K4:K32873,"=bildirimsiz",'[7]TABLO-1'!I4:I32873,"=Uzun",'[7]TABLO-1'!D4:D32873,"=EDİRNEMERKEZ")/P14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SUMIFS('[7]TABLO-1'!O4:O32873,'[7]TABLO-1'!H4:H32873,"=Dağıtım-AG",'[7]TABLO-1'!J4:J32873,"=Güvenlik",'[7]TABLO-1'!K4:K32873,"=Bildirimsiz",'[7]TABLO-1'!I4:I32873,"=Uzun",'[7]TABLO-1'!D4:D32873,"=EDİRNEMERKEZ")/P6</f>
        <v>0</v>
      </c>
      <c r="E40" s="10">
        <f>SUMIFS('[7]TABLO-1'!P4:P32873,'[7]TABLO-1'!H4:H32873,"=Dağıtım-AG",'[7]TABLO-1'!J4:J32873,"=Güvenlik",'[7]TABLO-1'!K4:K32873,"=Bildirimsiz",'[7]TABLO-1'!I4:I32873,"=Uzun",'[7]TABLO-1'!D4:D32873,"=EDİRNEMERKEZ")/P12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SUMIFS('[7]TABLO-1'!Q4:Q32873,'[7]TABLO-1'!H4:H32873,"=Dağıtım-AG",'[7]TABLO-1'!J4:J32873,"=Güvenlik",'[7]TABLO-1'!K4:K32873,"=Bildirimsiz",'[7]TABLO-1'!I4:I32873,"=Uzun",'[7]TABLO-1'!D4:D32873,"=EDİRNEMERKEZ")/P7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SUMIFS('[7]TABLO-1'!R4:R32873,'[7]TABLO-1'!H4:H32873,"=Dağıtım-AG",'[7]TABLO-1'!J4:J32873,"=Güvenlik",'[7]TABLO-1'!K4:K32873,"=Bildirimsiz",'[7]TABLO-1'!I4:I32873,"=Uzun",'[7]TABLO-1'!D4:D32873,"=EDİRNEMERKEZ")/P13</f>
        <v>#DIV/0!</v>
      </c>
      <c r="I40" s="10" t="str">
        <f t="shared" si="11"/>
        <v>0,00</v>
      </c>
      <c r="J40" s="12">
        <f>SUMIFS('[7]TABLO-1'!S4:S32873,'[7]TABLO-1'!H4:H32873,"=Dağıtım-AG",'[7]TABLO-1'!J4:J32873,"=Güvenlik",'[7]TABLO-1'!K4:K32873,"=Bildirimsiz",'[7]TABLO-1'!I4:I32873,"=Uzun",'[7]TABLO-1'!D4:D32873,"=EDİRNEMERKEZ")/P8</f>
        <v>0</v>
      </c>
      <c r="K40" s="10">
        <f>SUMIFS('[7]TABLO-1'!T4:T32873,'[7]TABLO-1'!H4:H32873,"=Dağıtım-AG",'[7]TABLO-1'!J4:J32873,"=Güvenlik",'[7]TABLO-1'!K4:K32873,"=bildirimsiz",'[7]TABLO-1'!I4:I32873,"=Uzun",'[7]TABLO-1'!D4:D32873,"=EDİRNEMERKEZ")/P14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0.45748987854251011</v>
      </c>
      <c r="E41" s="10">
        <f t="shared" ref="E41:M41" si="14">SUM(E31:E40)</f>
        <v>0.5113265083859726</v>
      </c>
      <c r="F41" s="10">
        <f t="shared" si="14"/>
        <v>0.51108621406241528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>
        <f t="shared" si="14"/>
        <v>1.129251700680272</v>
      </c>
      <c r="K41" s="10">
        <f t="shared" si="14"/>
        <v>1.7732982414164373</v>
      </c>
      <c r="L41" s="10">
        <f t="shared" si="14"/>
        <v>1.7514156939789669</v>
      </c>
      <c r="M41" s="10">
        <f t="shared" si="14"/>
        <v>0.60102571837996832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İşletmecisi",'[7]TABLO-1'!K4:K32873,"=Bildirimli",'[7]TABLO-1'!I4:I32873,"=Uzun",'[7]TABLO-1'!D4:D32873,"=EDİRNEMERKEZ")/P6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İşletmecisi",'[7]TABLO-1'!K4:K32873,"=Bildirimli",'[7]TABLO-1'!I4:I32873,"=Uzun",'[7]TABLO-1'!D4:D32873,"=EDİRNEMERKEZ")/P12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İşletmecisi",'[7]TABLO-1'!K4:K32873,"=Bildirimli",'[7]TABLO-1'!I4:I32873,"=Uzun",'[7]TABLO-1'!D4:D32873,"=EDİRNEMERKEZ")/P7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İşletmecisi",'[7]TABLO-1'!K4:K32873,"=Bildirimli",'[7]TABLO-1'!I4:I32873,"=Uzun",'[7]TABLO-1'!D4:D32873,"=EDİRNEMERKEZ")/P13</f>
        <v>#DIV/0!</v>
      </c>
      <c r="I46" s="10" t="str">
        <f>IFERROR((((G46*$P$7)+(H46*$P$13))/$P$20),"0,00")</f>
        <v>0,00</v>
      </c>
      <c r="J46" s="10">
        <f>SUMIFS('[7]TABLO-1'!S4:S32873,'[7]TABLO-1'!H4:H32873,"=İletim",'[7]TABLO-1'!J4:J32873,"=Şebeke İşletmecisi",'[7]TABLO-1'!K4:K32873,"=Bildirimli",'[7]TABLO-1'!I4:I32873,"=Uzun",'[7]TABLO-1'!D4:D32873,"=EDİRNEMERKEZ")/P8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İşletmecisi",'[7]TABLO-1'!K4:K32873,"=bildirimli",'[7]TABLO-1'!I4:I32873,"=Uzun",'[7]TABLO-1'!D4:D32873,"=EDİRNEMERKEZ")/P14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İşletmecisi",'[7]TABLO-1'!K4:K32873,"=Bildirimli",'[7]TABLO-1'!I4:I32873,"=Uzun",'[7]TABLO-1'!D4:D32873,"=EDİRNEMERKEZ")/P6</f>
        <v>3.2388663967611336E-2</v>
      </c>
      <c r="E47" s="10">
        <f>SUMIFS('[7]TABLO-1'!P4:P32873,'[7]TABLO-1'!H4:H32873,"=Dağıtım-OG",'[7]TABLO-1'!J4:J32873,"=Şebeke İşletmecisi",'[7]TABLO-1'!K4:K32873,"=Bildirimli",'[7]TABLO-1'!I4:I32873,"=Uzun",'[7]TABLO-1'!D4:D32873,"=EDİRNEMERKEZ")/P12</f>
        <v>5.5670514775284979E-2</v>
      </c>
      <c r="F47" s="10">
        <f t="shared" ref="F47:F50" si="15">IFERROR((((D47*$P$6)+(E47*$P$12))/$P$17),"0,00")</f>
        <v>5.5566598601348056E-2</v>
      </c>
      <c r="G47" s="10" t="e">
        <f>SUMIFS('[7]TABLO-1'!Q4:Q32873,'[7]TABLO-1'!H4:H32873,"=Dağıtım-OG",'[7]TABLO-1'!J4:J32873,"=Şebeke İşletmecisi",'[7]TABLO-1'!K4:K32873,"=Bildirimli",'[7]TABLO-1'!I4:I32873,"=Uzun",'[7]TABLO-1'!D4:D32873,"=EDİRNEMERKEZ")/P7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İşletmecisi",'[7]TABLO-1'!K4:K32873,"=Bildirimli",'[7]TABLO-1'!I4:I32873,"=Uzun",'[7]TABLO-1'!D4:D32873,"=EDİRNEMERKEZ")/P13</f>
        <v>#DIV/0!</v>
      </c>
      <c r="I47" s="10" t="str">
        <f t="shared" ref="I47:I50" si="16">IFERROR((((G47*$P$7)+(H47*$P$13))/$P$20),"0,00")</f>
        <v>0,00</v>
      </c>
      <c r="J47" s="10">
        <f>SUMIFS('[7]TABLO-1'!S4:S32873,'[7]TABLO-1'!H4:H32873,"=Dağıtım-OG",'[7]TABLO-1'!J4:J32873,"=Şebeke İşletmecisi",'[7]TABLO-1'!K4:K32873,"=Bildirimli",'[7]TABLO-1'!I4:I32873,"=Uzun",'[7]TABLO-1'!D4:D32873,"=EDİRNEMERKEZ")/P8</f>
        <v>3.4013605442176874E-2</v>
      </c>
      <c r="K47" s="10">
        <f>SUMIFS('[7]TABLO-1'!T4:T32873,'[7]TABLO-1'!H4:H32873,"=Dağıtım-OG",'[7]TABLO-1'!J4:J32873,"=Şebeke İşletmecisi",'[7]TABLO-1'!K4:K32873,"=bildirimli",'[7]TABLO-1'!I4:I32873,"=Uzun",'[7]TABLO-1'!D4:D32873,"=EDİRNEMERKEZ")/P14</f>
        <v>7.871754994616581E-2</v>
      </c>
      <c r="L47" s="10">
        <f t="shared" ref="L47:L50" si="17">IFERROR((((J47*$P$8)+(K47*$P$14))/$P$23),"0,00")</f>
        <v>7.7198659424477054E-2</v>
      </c>
      <c r="M47" s="11">
        <f t="shared" ref="M47:M50" si="18">IFERROR((((F47*$P$17)+(I47*$P$20)+(L47*$P$23))/$P$26),"0,00")</f>
        <v>5.7135195380915271E-2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SUMIFS('[7]TABLO-1'!O4:O32873,'[7]TABLO-1'!H4:H32873,"=Dağıtım-OG",'[7]TABLO-1'!J4:J32873,"=Güvenlik",'[7]TABLO-1'!K4:K32873,"=Bildirimli",'[7]TABLO-1'!I4:I32873,"=Uzun",'[7]TABLO-1'!D4:D32873,"=EDİRNEMERKEZ")/P6</f>
        <v>0</v>
      </c>
      <c r="E48" s="10">
        <f>SUMIFS('[7]TABLO-1'!P4:P32873,'[7]TABLO-1'!H4:H32873,"=Dağıtım-OG",'[7]TABLO-1'!J4:J32873,"=Güvenlik",'[7]TABLO-1'!K4:K32873,"=Bildirimli",'[7]TABLO-1'!I4:I32873,"=Uzun",'[7]TABLO-1'!D4:D32873,"=EDİRNEMERKEZ")/P12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SUMIFS('[7]TABLO-1'!Q4:Q32873,'[7]TABLO-1'!H4:H32873,"=Dağıtım-OG",'[7]TABLO-1'!J4:J32873,"=Güvenlik",'[7]TABLO-1'!K4:K32873,"=Bildirimli",'[7]TABLO-1'!I4:I32873,"=Uzun",'[7]TABLO-1'!D4:D32873,"=EDİRNEMERKEZ")/P7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SUMIFS('[7]TABLO-1'!R4:R32873,'[7]TABLO-1'!H4:H32873,"=Dağıtım-OG",'[7]TABLO-1'!J4:J32873,"=Güvenlik",'[7]TABLO-1'!K4:K32873,"=Bildirimli",'[7]TABLO-1'!I4:I32873,"=Uzun",'[7]TABLO-1'!D4:D32873,"=EDİRNEMERKEZ")/P13</f>
        <v>#DIV/0!</v>
      </c>
      <c r="I48" s="10" t="str">
        <f t="shared" si="16"/>
        <v>0,00</v>
      </c>
      <c r="J48" s="10">
        <f>SUMIFS('[7]TABLO-1'!S4:S32873,'[7]TABLO-1'!H4:H32873,"=Dağıtım-OG",'[7]TABLO-1'!J4:J32873,"=Güvenlik",'[7]TABLO-1'!K4:K32873,"=Bildirimli",'[7]TABLO-1'!I4:I32873,"=Uzun",'[7]TABLO-1'!D4:D32873,"=EDİRNEMERKEZ")/P8</f>
        <v>0</v>
      </c>
      <c r="K48" s="10">
        <f>SUMIFS('[7]TABLO-1'!T4:T32873,'[7]TABLO-1'!H4:H32873,"=Dağıtım-OG",'[7]TABLO-1'!J4:J32873,"=Güvenlik",'[7]TABLO-1'!K4:K32873,"=bildirimli",'[7]TABLO-1'!I4:I32873,"=Uzun",'[7]TABLO-1'!D4:D32873,"=EDİRNEMERKEZ")/P14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İşletmecisi",'[7]TABLO-1'!K4:K32873,"=Bildirimli",'[7]TABLO-1'!I4:I32873,"=Uzun",'[7]TABLO-1'!D4:D32873,"=EDİRNEMERKEZ")/P6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İşletmecisi",'[7]TABLO-1'!K4:K32873,"=Bildirimli",'[7]TABLO-1'!I4:I32873,"=Uzun",'[7]TABLO-1'!D4:D32873,"=EDİRNEMERKEZ")/P12</f>
        <v>1.796994118928338E-3</v>
      </c>
      <c r="F49" s="10">
        <f t="shared" si="15"/>
        <v>1.7889734183848642E-3</v>
      </c>
      <c r="G49" s="12" t="e">
        <f>SUMIFS('[7]TABLO-1'!Q4:Q32873,'[7]TABLO-1'!H4:H32873,"=Dağıtım-AG",'[7]TABLO-1'!J4:J32873,"=Şebeke İşletmecisi",'[7]TABLO-1'!K4:K32873,"=Bildirimli",'[7]TABLO-1'!I4:I32873,"=Uzun",'[7]TABLO-1'!D4:D32873,"=EDİRNEMERKEZ")/P7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İşletmecisi",'[7]TABLO-1'!K4:K32873,"=Bildirimli",'[7]TABLO-1'!I4:I32873,"=Uzun",'[7]TABLO-1'!D4:D32873,"=EDİRNEMERKEZ")/P13</f>
        <v>#DIV/0!</v>
      </c>
      <c r="I49" s="10" t="str">
        <f t="shared" si="16"/>
        <v>0,00</v>
      </c>
      <c r="J49" s="12">
        <f>SUMIFS('[7]TABLO-1'!S4:S32873,'[7]TABLO-1'!H4:H32873,"=Dağıtım-AG",'[7]TABLO-1'!J4:J32873,"=Şebeke İşletmecisi",'[7]TABLO-1'!K4:K32873,"=Bildirimli",'[7]TABLO-1'!I4:I32873,"=Uzun",'[7]TABLO-1'!D4:D32873,"=EDİRNEMERKEZ")/P8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İşletmecisi",'[7]TABLO-1'!K4:K32873,"=bildirimli",'[7]TABLO-1'!I4:I32873,"=Uzun",'[7]TABLO-1'!D4:D32873,"=EDİRNEMERKEZ")/P14</f>
        <v>8.4938389759540607E-3</v>
      </c>
      <c r="L49" s="10">
        <f t="shared" si="17"/>
        <v>8.2052467352363347E-3</v>
      </c>
      <c r="M49" s="11">
        <f t="shared" si="18"/>
        <v>2.2542340213356129E-3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SUMIFS('[7]TABLO-1'!O4:O32873,'[7]TABLO-1'!H4:H32873,"=Dağıtım-AG",'[7]TABLO-1'!J4:J32873,"=Güvenlik",'[7]TABLO-1'!K4:K32873,"=Bildirimli",'[7]TABLO-1'!I4:I32873,"=Uzun",'[7]TABLO-1'!D4:D32873,"=EDİRNEMERKEZ")/P6</f>
        <v>0</v>
      </c>
      <c r="E50" s="10">
        <f>SUMIFS('[7]TABLO-1'!P4:P32873,'[7]TABLO-1'!H4:H32873,"=Dağıtım-AG",'[7]TABLO-1'!J4:J32873,"=Güvenlik",'[7]TABLO-1'!K4:K32873,"=Bildirimli",'[7]TABLO-1'!I4:I32873,"=Uzun",'[7]TABLO-1'!D4:D32873,"=EDİRNEMERKEZ")/P12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SUMIFS('[7]TABLO-1'!Q4:Q32873,'[7]TABLO-1'!H4:H32873,"=Dağıtım-AG",'[7]TABLO-1'!J4:J32873,"=Güvenlik",'[7]TABLO-1'!K4:K32873,"=Bildirimli",'[7]TABLO-1'!I4:I32873,"=Uzun",'[7]TABLO-1'!D4:D32873,"=EDİRNEMERKEZ")/P7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SUMIFS('[7]TABLO-1'!R4:R32873,'[7]TABLO-1'!H4:H32873,"=Dağıtım-AG",'[7]TABLO-1'!J4:J32873,"=Güvenlik",'[7]TABLO-1'!K4:K32873,"=Bildirimli",'[7]TABLO-1'!I4:I32873,"=Uzun",'[7]TABLO-1'!D4:D32873,"=EDİRNEMERKEZ")/P13</f>
        <v>#DIV/0!</v>
      </c>
      <c r="I50" s="10" t="str">
        <f t="shared" si="16"/>
        <v>0,00</v>
      </c>
      <c r="J50" s="12">
        <f>SUMIFS('[7]TABLO-1'!S4:S32873,'[7]TABLO-1'!H4:H32873,"=Dağıtım-AG",'[7]TABLO-1'!J4:J32873,"=Güvenlik",'[7]TABLO-1'!K4:K32873,"=Bildirimli",'[7]TABLO-1'!I4:I32873,"=Uzun",'[7]TABLO-1'!D4:D32873,"=EDİRNEMERKEZ")/P8</f>
        <v>0</v>
      </c>
      <c r="K50" s="10">
        <f>SUMIFS('[7]TABLO-1'!T4:T32873,'[7]TABLO-1'!H4:H32873,"=Dağıtım-AG",'[7]TABLO-1'!J4:J32873,"=Güvenlik",'[7]TABLO-1'!K4:K32873,"=bildirimli",'[7]TABLO-1'!I4:I32873,"=Uzun",'[7]TABLO-1'!D4:D32873,"=EDİRNEMERKEZ")/P14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3.2388663967611336E-2</v>
      </c>
      <c r="E51" s="10">
        <f t="shared" ref="E51:M51" si="19">SUM(E46:E50)</f>
        <v>5.7467508894213315E-2</v>
      </c>
      <c r="F51" s="10">
        <f t="shared" si="19"/>
        <v>5.7355572019732917E-2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>
        <f t="shared" si="19"/>
        <v>3.4013605442176874E-2</v>
      </c>
      <c r="K51" s="10">
        <f t="shared" si="19"/>
        <v>8.7211388922119867E-2</v>
      </c>
      <c r="L51" s="10">
        <f t="shared" si="19"/>
        <v>8.5403906159713383E-2</v>
      </c>
      <c r="M51" s="10">
        <f t="shared" si="19"/>
        <v>5.9389429402250886E-2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SUMIFS('[7]TABLO-1'!O1:O32873,'[7]TABLO-1'!H1:H32873,"=İletim",'[7]TABLO-1'!K1:K32873,"=Bildirimsiz",'[7]TABLO-1'!I1:I32873,"=Kısa",'[7]TABLO-1'!D1:D32873,"=EDİRNEMERKEZ")/P6</f>
        <v>0</v>
      </c>
      <c r="D56" s="10">
        <f>SUMIFS('[7]TABLO-1'!P1:P32873,'[7]TABLO-1'!H1:H32873,"=İletim",'[7]TABLO-1'!K1:K32873,"=Bildirimsiz",'[7]TABLO-1'!I1:I32873,"=Kısa",'[7]TABLO-1'!D1:D32873,"=EDİRNEMERKEZ")/P12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SUMIFS('[7]TABLO-1'!Q1:Q32873,'[7]TABLO-1'!H1:H32873,"=İletim",'[7]TABLO-1'!K1:K32873,"=Bildirimsiz",'[7]TABLO-1'!I1:I32873,"=Kısa",'[7]TABLO-1'!D1:D32873,"=EDİRNEMERKEZ")/P7</f>
        <v>#DIV/0!</v>
      </c>
      <c r="G56" s="10" t="e">
        <f>SUMIFS('[7]TABLO-1'!R1:R32873,'[7]TABLO-1'!H1:H32873,"=İletim",'[7]TABLO-1'!K1:K32873,"=Bildirimsiz",'[7]TABLO-1'!I1:I32873,"=Kısa",'[7]TABLO-1'!D1:D32873,"=EDİRNEMERKEZ")/P13</f>
        <v>#DIV/0!</v>
      </c>
      <c r="H56" s="10" t="str">
        <f>IFERROR((((F56*$P$7)+(G56*$P$13))/$P$20),"0,00")</f>
        <v>0,00</v>
      </c>
      <c r="I56" s="10">
        <f>SUMIFS('[7]TABLO-1'!S1:S32873,'[7]TABLO-1'!H1:H32873,"=İletim",'[7]TABLO-1'!K1:K32873,"=Bildirimsiz",'[7]TABLO-1'!I1:I32873,"=Kısa",'[7]TABLO-1'!D1:D32873,"=EDİRNEMERKEZ")/P8</f>
        <v>0</v>
      </c>
      <c r="J56" s="10">
        <f>SUMIFS('[7]TABLO-1'!T1:T32873,'[7]TABLO-1'!H1:H32873,"=İletim",'[7]TABLO-1'!K1:K32873,"=Bildirimsiz",'[7]TABLO-1'!I1:I32873,"=Kısa",'[7]TABLO-1'!D1:D32873,"=EDİRNEMERKEZ")/P14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SUMIFS('[7]TABLO-1'!O4:O32873,'[7]TABLO-1'!H4:H32873,"=Dağıtım-OG",'[7]TABLO-1'!K4:K32873,"=Bildirimsiz",'[7]TABLO-1'!I4:I32873,"=Kısa",'[7]TABLO-1'!D4:D32873,"=EDİRNEMERKEZ")/P6</f>
        <v>8.5020242914979755E-2</v>
      </c>
      <c r="D57" s="10">
        <f>SUMIFS('[7]TABLO-1'!P4:P32873,'[7]TABLO-1'!H4:H32873,"=Dağıtım-OG",'[7]TABLO-1'!K4:K32873,"=Bildirimsiz",'[7]TABLO-1'!I4:I32873,"=Kısa",'[7]TABLO-1'!D4:D32873,"=EDİRNEMERKEZ")/P12</f>
        <v>1.366804617730342E-2</v>
      </c>
      <c r="E57" s="10">
        <f>IFERROR((((C57*$P$6)+(D57*$P$12))/$P$17),"0,00")</f>
        <v>1.3986519452827121E-2</v>
      </c>
      <c r="F57" s="10" t="e">
        <f>SUMIFS('[7]TABLO-1'!Q4:Q32873,'[7]TABLO-1'!H4:H32873,"=Dağıtım-OG",'[7]TABLO-1'!K4:K32873,"=Bildirimsiz",'[7]TABLO-1'!I4:I32873,"=Kısa",'[7]TABLO-1'!D4:D32873,"=EDİRNEMERKEZ")/P7</f>
        <v>#DIV/0!</v>
      </c>
      <c r="G57" s="10" t="e">
        <f>SUMIFS('[7]TABLO-1'!R4:R32873,'[7]TABLO-1'!H4:H32873,"=Dağıtım-OG",'[7]TABLO-1'!K4:K32873,"=Bildirimsiz",'[7]TABLO-1'!I4:I32873,"=Kısa",'[7]TABLO-1'!D4:D32873,"=EDİRNEMERKEZ")/P13</f>
        <v>#DIV/0!</v>
      </c>
      <c r="H57" s="10" t="str">
        <f>IFERROR((((F57*$P$7)+(G57*$P$13))/$P$20),"0,00")</f>
        <v>0,00</v>
      </c>
      <c r="I57" s="10">
        <f>SUMIFS('[7]TABLO-1'!S4:S32873,'[7]TABLO-1'!H4:H32873,"=Dağıtım-OG",'[7]TABLO-1'!K4:K32873,"=Bildirimsiz",'[7]TABLO-1'!I4:I32873,"=Kısa",'[7]TABLO-1'!D4:D32873,"=EDİRNEMERKEZ")/P8</f>
        <v>0.22789115646258504</v>
      </c>
      <c r="J57" s="10">
        <f>SUMIFS('[7]TABLO-1'!T4:T32873,'[7]TABLO-1'!H4:H32873,"=Dağıtım-OG",'[7]TABLO-1'!K4:K32873,"=Bildirimsiz",'[7]TABLO-1'!I4:I32873,"=Kısa",'[7]TABLO-1'!D4:D32873,"=EDİRNEMERKEZ")/P14</f>
        <v>0.21653307811939226</v>
      </c>
      <c r="K57" s="10">
        <f>IFERROR((((I57*$P$8)+(J57*$P$14))/$P$23),"0,00")</f>
        <v>0.21691898763434647</v>
      </c>
      <c r="L57" s="11">
        <f>IFERROR((((E57*$P$17)+(H57*$P$20)+(K57*$P$23))/$P$26),"0,00")</f>
        <v>2.8701678524440423E-2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SUMIFS('[7]TABLO-1'!O4:O32873,'[7]TABLO-1'!H4:H32873,"=Dağıtım-AG",'[7]TABLO-1'!K4:K32873,"=Bildirimsiz",'[7]TABLO-1'!I4:I32873,"=Kısa",'[7]TABLO-1'!D4:D32873,"=EDİRNEMERKEZ")/P6</f>
        <v>0</v>
      </c>
      <c r="D58" s="10">
        <f>SUMIFS('[7]TABLO-1'!P4:P32873,'[7]TABLO-1'!H4:H32873,"=Dağıtım-AG",'[7]TABLO-1'!K4:K32873,"=Bildirimsiz",'[7]TABLO-1'!I4:I32873,"=Kısa",'[7]TABLO-1'!D4:D32873,"=EDİRNEMERKEZ")/P12</f>
        <v>4.447106657953968E-4</v>
      </c>
      <c r="E58" s="10">
        <f>IFERROR((((C58*$P$6)+(D58*$P$12))/$P$17),"0,00")</f>
        <v>4.4272574495383006E-4</v>
      </c>
      <c r="F58" s="10" t="e">
        <f>SUMIFS('[7]TABLO-1'!Q4:Q32873,'[7]TABLO-1'!H4:H32873,"=Dağıtım-AG",'[7]TABLO-1'!K4:K32873,"=Bildirimsiz",'[7]TABLO-1'!I4:I32873,"=Kısa",'[7]TABLO-1'!D4:D32873,"=EDİRNEMERKEZ")/P7</f>
        <v>#DIV/0!</v>
      </c>
      <c r="G58" s="10" t="e">
        <f>SUMIFS('[7]TABLO-1'!R4:R32873,'[7]TABLO-1'!H4:H32873,"=Dağıtım-AG",'[7]TABLO-1'!K4:K32873,"=Bildirimsiz",'[7]TABLO-1'!I4:I32873,"=Kısa",'[7]TABLO-1'!D4:D32873,"=EDİRNEMERKEZ")/P13</f>
        <v>#DIV/0!</v>
      </c>
      <c r="H58" s="10" t="str">
        <f>IFERROR((((F58*$P$7)+(G58*$P$13))/$P$20),"0,00")</f>
        <v>0,00</v>
      </c>
      <c r="I58" s="10">
        <f>SUMIFS('[7]TABLO-1'!S4:S32873,'[7]TABLO-1'!H4:H32873,"=Dağıtım-AG",'[7]TABLO-1'!K4:K32873,"=Bildirimsiz",'[7]TABLO-1'!I4:I32873,"=Kısa",'[7]TABLO-1'!D4:D32873,"=EDİRNEMERKEZ")/P8</f>
        <v>0</v>
      </c>
      <c r="J58" s="10">
        <f>SUMIFS('[7]TABLO-1'!T4:T32873,'[7]TABLO-1'!H4:H32873,"=Dağıtım-AG",'[7]TABLO-1'!K4:K32873,"=Bildirimsiz",'[7]TABLO-1'!I4:I32873,"=Kısa",'[7]TABLO-1'!D4:D32873,"=EDİRNEMERKEZ")/P14</f>
        <v>0</v>
      </c>
      <c r="K58" s="10">
        <f>IFERROR((((I58*$P$8)+(J58*$P$14))/$P$23),"0,00")</f>
        <v>0</v>
      </c>
      <c r="L58" s="11">
        <f>IFERROR((((E58*$P$17)+(H58*$P$20)+(K58*$P$23))/$P$26),"0,00")</f>
        <v>4.1062255407228634E-4</v>
      </c>
    </row>
    <row r="59" spans="2:13" ht="15" customHeight="1" thickBot="1" x14ac:dyDescent="0.3">
      <c r="B59" s="30" t="s">
        <v>20</v>
      </c>
      <c r="C59" s="10">
        <f t="shared" ref="C59:L59" si="20">SUM(C56:C58)</f>
        <v>8.5020242914979755E-2</v>
      </c>
      <c r="D59" s="10">
        <f t="shared" si="20"/>
        <v>1.4112756843098817E-2</v>
      </c>
      <c r="E59" s="10">
        <f t="shared" si="20"/>
        <v>1.442924519778095E-2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>
        <f t="shared" si="20"/>
        <v>0.22789115646258504</v>
      </c>
      <c r="J59" s="10">
        <f t="shared" si="20"/>
        <v>0.21653307811939226</v>
      </c>
      <c r="K59" s="10">
        <f t="shared" si="20"/>
        <v>0.21691898763434647</v>
      </c>
      <c r="L59" s="10">
        <f t="shared" si="20"/>
        <v>2.911230107851271E-2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494</v>
      </c>
      <c r="D65" s="27">
        <f>P12</f>
        <v>110184</v>
      </c>
      <c r="E65" s="27">
        <f>C65+D65</f>
        <v>110678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294</v>
      </c>
      <c r="J65" s="27">
        <f>P14</f>
        <v>8359</v>
      </c>
      <c r="K65" s="17">
        <f>SUM(I65:J65)</f>
        <v>8653</v>
      </c>
      <c r="L65" s="17">
        <f>H65+E65+K65</f>
        <v>119331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İşletmecisi",'[7]TABLO-1'!K4:K32873,"=Bildirimsiz",'[7]TABLO-1'!I4:I32873,"=Uzun",'[7]TABLO-1'!D4:D32873,"=HAVSA")/P6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İşletmecisi",'[7]TABLO-1'!K4:K32873,"=Bildirimsiz",'[7]TABLO-1'!I4:I32873,"=Uzun",'[7]TABLO-1'!D4:D32873,"=HAVSA")/P12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İşletmecisi",'[7]TABLO-1'!K4:K32873,"=Bildirimsiz",'[7]TABLO-1'!I4:I32873,"=Uzun",'[7]TABLO-1'!D4:D32873,"=HAVSA")/P7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İşletmecisi",'[7]TABLO-1'!K4:K32873,"=Bildirimsiz",'[7]TABLO-1'!I4:I32873,"=Uzun",'[7]TABLO-1'!D4:D32873,"=HAVSA")/P13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İşletmecisi",'[7]TABLO-1'!K4:K32873,"=Bildirimsiz",'[7]TABLO-1'!I4:I32873,"=Uzun",'[7]TABLO-1'!D4:D32873,"=HAVSA")/P8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İşletmecisi",'[7]TABLO-1'!K4:K32873,"=Bildirimsiz",'[7]TABLO-1'!I4:I32873,"=Uzun",'[7]TABLO-1'!D4:D32873,"=HAVSA")/P14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Sebep",'[7]TABLO-1'!K4:K32873,"=Bildirimsiz",'[7]TABLO-1'!I4:I32873,"=Uzun",'[7]TABLO-1'!D4:D32873,"=HAVSA")/P6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Sebep",'[7]TABLO-1'!K4:K32873,"=Bildirimsiz",'[7]TABLO-1'!I4:I32873,"=Uzun",'[7]TABLO-1'!D4:D32873,"=HAVSA")/P12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Sebep",'[7]TABLO-1'!K4:K32873,"=Bildirimsiz",'[7]TABLO-1'!I4:I32873,"=Uzun",'[7]TABLO-1'!D4:D32873,"=HAVSA")/P7</f>
        <v>0</v>
      </c>
      <c r="H7" s="10">
        <f>SUMIFS('[7]TABLO-1'!X4:X32873,'[7]TABLO-1'!H4:H32873,"=İletim",'[7]TABLO-1'!J4:J32873,"=Mücbir Sebep",'[7]TABLO-1'!K4:K32873,"=Bildirimsiz",'[7]TABLO-1'!I4:I32873,"=Uzun",'[7]TABLO-1'!D4:D32873,"=HAVSA")/P13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Sebep",'[7]TABLO-1'!K4:K32873,"=Bildirimsiz",'[7]TABLO-1'!I4:I32873,"=Uzun",'[7]TABLO-1'!D4:D32873,"=HAVSA")/P8</f>
        <v>0</v>
      </c>
      <c r="K7" s="10">
        <f>SUMIFS('[7]TABLO-1'!Z4:Z32873,'[7]TABLO-1'!H4:H32873,"=İletim",'[7]TABLO-1'!J4:J32873,"=Mücbir Sebep",'[7]TABLO-1'!K4:K32873,"=Bildirimsiz",'[7]TABLO-1'!I4:I32873,"=Uzun",'[7]TABLO-1'!D4:D32873,"=HAVSA")/P14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98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İşletmecisi",'[7]TABLO-1'!K4:K32873,"=Bildirimsiz",'[7]TABLO-1'!I4:I32873,"=Uzun",'[7]TABLO-1'!D4:D32873,"=HAVSA")/P6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İşletmecisi",'[7]TABLO-1'!K4:K32873,"=Bildirimsiz",'[7]TABLO-1'!I4:I32873,"=Uzun",'[7]TABLO-1'!D4:D32873,"=HAVSA")/P12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İşletmecisi",'[7]TABLO-1'!K4:K32873,"=Bildirimsiz",'[7]TABLO-1'!I4:I32873,"=Uzun",'[7]TABLO-1'!D4:D32873,"=HAVSA")/P7</f>
        <v>78.748129248269834</v>
      </c>
      <c r="H8" s="10">
        <f>SUMIFS('[7]TABLO-1'!X4:X32873,'[7]TABLO-1'!H4:H32873,"=Dağıtım-OG",'[7]TABLO-1'!J4:J32873,"=Şebeke İşletmecisi",'[7]TABLO-1'!K4:K32873,"=Bildirimsiz",'[7]TABLO-1'!I4:I32873,"=Uzun",'[7]TABLO-1'!D4:D32873,"=HAVSA")/P13</f>
        <v>49.78347913078813</v>
      </c>
      <c r="I8" s="10">
        <f t="shared" si="1"/>
        <v>50.166340705041328</v>
      </c>
      <c r="J8" s="10">
        <f>SUMIFS('[7]TABLO-1'!Y4:Y32873,'[7]TABLO-1'!H4:H32873,"=Dağıtım-OG",'[7]TABLO-1'!J4:J32873,"=Şebeke İşletmecisi",'[7]TABLO-1'!K4:K32873,"=Bildirimsiz",'[7]TABLO-1'!I4:I32873,"=Uzun",'[7]TABLO-1'!D4:D32873,"=HAVSA")/P8</f>
        <v>130.94310344171765</v>
      </c>
      <c r="K8" s="10">
        <f>SUMIFS('[7]TABLO-1'!Z4:Z32873,'[7]TABLO-1'!H4:H32873,"=Dağıtım-OG",'[7]TABLO-1'!J4:J32873,"=Şebeke İşletmecisi",'[7]TABLO-1'!K4:K32873,"=Bildirimsiz",'[7]TABLO-1'!I4:I32873,"=Uzun",'[7]TABLO-1'!D4:D32873,"=HAVSA")/P14</f>
        <v>78.557624032819731</v>
      </c>
      <c r="L8" s="10">
        <f t="shared" si="2"/>
        <v>79.362167341628435</v>
      </c>
      <c r="M8" s="11">
        <f t="shared" si="3"/>
        <v>64.899826279046962</v>
      </c>
      <c r="O8" s="20" t="s">
        <v>36</v>
      </c>
      <c r="P8" s="53">
        <v>116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SUMIFS('[7]TABLO-1'!U4:U32873,'[7]TABLO-1'!H4:H32873,"=Dağıtım-OG",'[7]TABLO-1'!J4:J32873,"=Dışsal",'[7]TABLO-1'!K4:K32873,"=Bildirimsiz",'[7]TABLO-1'!I4:I32873,"=Uzun",'[7]TABLO-1'!D4:D32873,"=HAVSA")/P6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SUMIFS('[7]TABLO-1'!V4:V32873,'[7]TABLO-1'!H4:H32873,"=Dağıtım-OG",'[7]TABLO-1'!J4:J32873,"=Dışsal",'[7]TABLO-1'!K4:K32873,"=Bildirimsiz",'[7]TABLO-1'!I4:I32873,"=Uzun",'[7]TABLO-1'!D4:D32873,"=HAVSA")/P12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SUMIFS('[7]TABLO-1'!W4:W32873,'[7]TABLO-1'!H4:H32873,"=Dağıtım-OG",'[7]TABLO-1'!J4:J32873,"=Dışsal",'[7]TABLO-1'!K4:K32873,"=Bildirimsiz",'[7]TABLO-1'!I4:I32873,"=Uzun",'[7]TABLO-1'!D4:D32873,"=HAVSA")/P7</f>
        <v>0</v>
      </c>
      <c r="H9" s="10">
        <f>SUMIFS('[7]TABLO-1'!X4:X32873,'[7]TABLO-1'!H4:H32873,"=Dağıtım-OG",'[7]TABLO-1'!J4:J32873,"=Dışsal",'[7]TABLO-1'!K4:K32873,"=Bildirimsiz",'[7]TABLO-1'!I4:I32873,"=Uzun",'[7]TABLO-1'!D4:D32873,"=HAVSA")/P13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SUMIFS('[7]TABLO-1'!Y4:Y32873,'[7]TABLO-1'!H4:H32873,"=Dağıtım-OG",'[7]TABLO-1'!J4:J32873,"=Dışsal",'[7]TABLO-1'!K4:K32873,"=Bildirimsiz",'[7]TABLO-1'!I4:I32873,"=Uzun",'[7]TABLO-1'!D4:D32873,"=HAVSA")/P8</f>
        <v>0</v>
      </c>
      <c r="K9" s="10">
        <f>SUMIFS('[7]TABLO-1'!Z4:Z32873,'[7]TABLO-1'!H4:H32873,"=Dağıtım-OG",'[7]TABLO-1'!J4:J32873,"=Dışsal",'[7]TABLO-1'!K4:K32873,"=Bildirimsiz",'[7]TABLO-1'!I4:I32873,"=Uzun",'[7]TABLO-1'!D4:D32873,"=HAVSA")/P14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214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Sebep",'[7]TABLO-1'!K4:K32873,"=Bildirimsiz",'[7]TABLO-1'!I4:I32873,"=Uzun",'[7]TABLO-1'!D4:D32873,"=HAVSA")/P6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Sebep",'[7]TABLO-1'!K4:K32873,"=Bildirimsiz",'[7]TABLO-1'!I4:I32873,"=Uzun",'[7]TABLO-1'!D4:D32873,"=HAVSA")/P12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Sebep",'[7]TABLO-1'!K4:K32873,"=Bildirimsiz",'[7]TABLO-1'!I4:I32873,"=Uzun",'[7]TABLO-1'!D4:D32873,"=HAVSA")/P7</f>
        <v>0</v>
      </c>
      <c r="H10" s="10">
        <f>SUMIFS('[7]TABLO-1'!X4:X32873,'[7]TABLO-1'!H4:H32873,"=Dağıtım-OG",'[7]TABLO-1'!J4:J32873,"=Mücbir Sebep",'[7]TABLO-1'!K4:K32873,"=Bildirimsiz",'[7]TABLO-1'!I4:I32873,"=Uzun",'[7]TABLO-1'!D4:D32873,"=HAVSA")/P13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Sebep",'[7]TABLO-1'!K4:K32873,"=Bildirimsiz",'[7]TABLO-1'!I4:I32873,"=Uzun",'[7]TABLO-1'!D4:D32873,"=HAVSA")/P8</f>
        <v>0</v>
      </c>
      <c r="K10" s="10">
        <f>SUMIFS('[7]TABLO-1'!Z4:Z32873,'[7]TABLO-1'!H4:H32873,"=Dağıtım-OG",'[7]TABLO-1'!J4:J32873,"=Mücbir Sebep",'[7]TABLO-1'!K4:K32873,"=Bildirimsiz",'[7]TABLO-1'!I4:I32873,"=Uzun",'[7]TABLO-1'!D4:D32873,"=HAVSA")/P14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SUMIFS('[7]TABLO-1'!U4:U32873,'[7]TABLO-1'!H4:H32873,"=Dağıtım-OG",'[7]TABLO-1'!J4:J32873,"=Güvenlik",'[7]TABLO-1'!K4:K32873,"=Bildirimsiz",'[7]TABLO-1'!I4:I32873,"=Uzun",'[7]TABLO-1'!D4:D32873,"=HAVSA")/P6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SUMIFS('[7]TABLO-1'!V4:V32873,'[7]TABLO-1'!H4:H32873,"=Dağıtım-OG",'[7]TABLO-1'!J4:J32873,"=Güvenlik",'[7]TABLO-1'!K4:K32873,"=Bildirimsiz",'[7]TABLO-1'!I4:I32873,"=Uzun",'[7]TABLO-1'!D4:D32873,"=HAVSA")/P12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SUMIFS('[7]TABLO-1'!W4:W32873,'[7]TABLO-1'!H4:H32873,"=Dağıtım-OG",'[7]TABLO-1'!J4:J32873,"=Güvenlik",'[7]TABLO-1'!K4:K32873,"=Bildirimsiz",'[7]TABLO-1'!I4:I32873,"=Uzun",'[7]TABLO-1'!D4:D32873,"=HAVSA")/P7</f>
        <v>0</v>
      </c>
      <c r="H11" s="10">
        <f>SUMIFS('[7]TABLO-1'!X4:X32873,'[7]TABLO-1'!H4:H32873,"=Dağıtım-OG",'[7]TABLO-1'!J4:J32873,"=Güvenlik",'[7]TABLO-1'!K4:K32873,"=Bildirimsiz",'[7]TABLO-1'!I4:I32873,"=Uzun",'[7]TABLO-1'!D4:D32873,"=HAVSA")/P13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SUMIFS('[7]TABLO-1'!Y4:Y32873,'[7]TABLO-1'!H4:H32873,"=Dağıtım-OG",'[7]TABLO-1'!J4:J32873,"=Güvenlik",'[7]TABLO-1'!K4:K32873,"=Bildirimsiz",'[7]TABLO-1'!I4:I32873,"=Uzun",'[7]TABLO-1'!D4:D32873,"=HAVSA")/P8</f>
        <v>0</v>
      </c>
      <c r="K11" s="10">
        <f>SUMIFS('[7]TABLO-1'!Z4:Z32873,'[7]TABLO-1'!H4:H32873,"=Dağıtım-OG",'[7]TABLO-1'!J4:J32873,"=Güvenlik",'[7]TABLO-1'!K4:K32873,"=Bildirimsiz",'[7]TABLO-1'!I4:I32873,"=Uzun",'[7]TABLO-1'!D4:D32873,"=HAVSA")/P14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İşletmecisi",'[7]TABLO-1'!K4:K32873,"=Bildirimsiz",'[7]TABLO-1'!I4:I32873,"=Uzun",'[7]TABLO-1'!D4:D32873,"=HAVSA")/P6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işletmecisi",'[7]TABLO-1'!K4:K32873,"=Bildirimsiz",'[7]TABLO-1'!I4:I32873,"=Uzun",'[7]TABLO-1'!D4:D32873,"=HAVSA")/P12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İşletmecisi",'[7]TABLO-1'!K4:K32873,"=Bildirimsiz",'[7]TABLO-1'!I4:I32873,"=Uzun",'[7]TABLO-1'!D4:D32873,"=HAVSA")/P7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İşletmecisi",'[7]TABLO-1'!K4:K32873,"=Bildirimsiz",'[7]TABLO-1'!I4:I32873,"=Uzun",'[7]TABLO-1'!D4:D32873,"=HAVSA")/P13</f>
        <v>1.390265627836758</v>
      </c>
      <c r="I12" s="10">
        <f t="shared" si="1"/>
        <v>1.3718887689848558</v>
      </c>
      <c r="J12" s="12">
        <f>SUMIFS('[7]TABLO-1'!Y4:Y32873,'[7]TABLO-1'!H4:H32873,"=Dağıtım-AG",'[7]TABLO-1'!J4:J32873,"=Şebeke İşletmecisi",'[7]TABLO-1'!K4:K32873,"=Bildirimsiz",'[7]TABLO-1'!I4:I32873,"=Uzun",'[7]TABLO-1'!D4:D32873,"=HAVSA")/P8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İşletmecisi",'[7]TABLO-1'!K4:K32873,"=Bildirimsiz",'[7]TABLO-1'!I4:I32873,"=Uzun",'[7]TABLO-1'!D4:D32873,"=HAVSA")/P14</f>
        <v>8.1702635471916452</v>
      </c>
      <c r="L12" s="10">
        <f t="shared" si="2"/>
        <v>8.0447835297847554</v>
      </c>
      <c r="M12" s="11">
        <f t="shared" si="3"/>
        <v>4.739322064122268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SUMIFS('[7]TABLO-1'!U4:U32873,'[7]TABLO-1'!H4:H32873,"=Dağıtım-AG",'[7]TABLO-1'!J4:J32873,"=Dışsal",'[7]TABLO-1'!K4:K32873,"=Bildirimsiz",'[7]TABLO-1'!I4:I32873,"=Uzun",'[7]TABLO-1'!D4:D32873,"=HAVSA")/P6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SUMIFS('[7]TABLO-1'!V4:V32873,'[7]TABLO-1'!H4:H32873,"=Dağıtım-AG",'[7]TABLO-1'!J4:J32873,"=Dışsal",'[7]TABLO-1'!K4:K32873,"=Bildirimsiz",'[7]TABLO-1'!I4:I32873,"=Uzun",'[7]TABLO-1'!D4:D32873,"=HAVSA")/P12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SUMIFS('[7]TABLO-1'!W4:W32873,'[7]TABLO-1'!H4:H32873,"=Dağıtım-AG",'[7]TABLO-1'!J4:J32873,"=Dışsal",'[7]TABLO-1'!K4:K32873,"=Bildirimsiz",'[7]TABLO-1'!I4:I32873,"=Uzun",'[7]TABLO-1'!D4:D32873,"=HAVSA")/P7</f>
        <v>0</v>
      </c>
      <c r="H13" s="10">
        <f>SUMIFS('[7]TABLO-1'!X4:X32873,'[7]TABLO-1'!H4:H32873,"=Dağıtım-AG",'[7]TABLO-1'!J4:J32873,"=Dışsal",'[7]TABLO-1'!K4:K32873,"=Bildirimsiz",'[7]TABLO-1'!I4:I32873,"=Uzun",'[7]TABLO-1'!D4:D32873,"=HAVSA")/P13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SUMIFS('[7]TABLO-1'!Y4:Y32873,'[7]TABLO-1'!H4:H32873,"=Dağıtım-AG",'[7]TABLO-1'!J4:J32873,"=Dışsal",'[7]TABLO-1'!K4:K32873,"=Bildirimsiz",'[7]TABLO-1'!I4:I32873,"=Uzun",'[7]TABLO-1'!D4:D32873,"=HAVSA")/P8</f>
        <v>0</v>
      </c>
      <c r="K13" s="10">
        <f>SUMIFS('[7]TABLO-1'!Z4:Z32873,'[7]TABLO-1'!H4:H32873,"=Dağıtım-AG",'[7]TABLO-1'!J4:J32873,"=Dışsal",'[7]TABLO-1'!K4:K32873,"=Bildirimsiz",'[7]TABLO-1'!I4:I32873,"=Uzun",'[7]TABLO-1'!D4:D32873,"=HAVSA")/P14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7316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Sebep",'[7]TABLO-1'!K4:K32873,"=Bildirimsiz",'[7]TABLO-1'!I4:I32873,"=Uzun",'[7]TABLO-1'!D4:D32873,"=HAVSA")/P6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Sebep",'[7]TABLO-1'!K4:K32873,"=Bildirimsiz",'[7]TABLO-1'!I4:I32873,"=Uzun",'[7]TABLO-1'!D4:D32873,"=HAVSA")/P12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Sebep",'[7]TABLO-1'!K4:K32873,"=Bildirimsiz",'[7]TABLO-1'!I4:I32873,"=Uzun",'[7]TABLO-1'!D4:D32873,"=HAVSA")/P7</f>
        <v>0</v>
      </c>
      <c r="H14" s="10">
        <f>SUMIFS('[7]TABLO-1'!X4:X32873,'[7]TABLO-1'!H4:H32873,"=Dağıtım-AG",'[7]TABLO-1'!J4:J32873,"=Mücbir Sebep",'[7]TABLO-1'!K4:K32873,"=Bildirimsiz",'[7]TABLO-1'!I4:I32873,"=Uzun",'[7]TABLO-1'!D4:D32873,"=HAVSA")/P13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Sebep",'[7]TABLO-1'!K4:K32873,"=Bildirimsiz",'[7]TABLO-1'!I4:I32873,"=Uzun",'[7]TABLO-1'!D4:D32873,"=HAVSA")/P8</f>
        <v>0</v>
      </c>
      <c r="K14" s="10">
        <f>SUMIFS('[7]TABLO-1'!Z4:Z32873,'[7]TABLO-1'!H4:H32873,"=Dağıtım-AG",'[7]TABLO-1'!J4:J32873,"=Mücbir Sebep",'[7]TABLO-1'!K4:K32873,"=Bildirimsiz",'[7]TABLO-1'!I4:I32873,"=Uzun",'[7]TABLO-1'!D4:D32873,"=HAVSA")/P14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7437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SUMIFS('[7]TABLO-1'!U4:U32873,'[7]TABLO-1'!H4:H32873,"=Dağıtım-AG",'[7]TABLO-1'!J4:J32873,"=Güvenlik",'[7]TABLO-1'!K4:K32873,"=Bildirimsiz",'[7]TABLO-1'!I4:I32873,"=Uzun",'[7]TABLO-1'!D4:D32873,"=HAVSA")/P6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SUMIFS('[7]TABLO-1'!V4:V32873,'[7]TABLO-1'!H4:H32873,"=Dağıtım-AG",'[7]TABLO-1'!J4:J32873,"=Güvenlik",'[7]TABLO-1'!K4:K32873,"=Bildirimsiz",'[7]TABLO-1'!I4:I32873,"=Uzun",'[7]TABLO-1'!D4:D32873,"=HAVSA")/P12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SUMIFS('[7]TABLO-1'!W4:W32873,'[7]TABLO-1'!H4:H32873,"=Dağıtım-AG",'[7]TABLO-1'!J4:J32873,"=Güvenlik",'[7]TABLO-1'!K4:K32873,"=Bildirimsiz",'[7]TABLO-1'!I4:I32873,"=Uzun",'[7]TABLO-1'!D4:D32873,"=HAVSA")/P7</f>
        <v>0</v>
      </c>
      <c r="H15" s="10">
        <f>SUMIFS('[7]TABLO-1'!X4:X32873,'[7]TABLO-1'!H4:H32873,"=Dağıtım-AG",'[7]TABLO-1'!J4:J32873,"=Güvenlik",'[7]TABLO-1'!K4:K32873,"=Bildirimsiz",'[7]TABLO-1'!I4:I32873,"=Uzun",'[7]TABLO-1'!D4:D32873,"=HAVSA")/P13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SUMIFS('[7]TABLO-1'!Y4:Y32873,'[7]TABLO-1'!H4:H32873,"=Dağıtım-AG",'[7]TABLO-1'!J4:J32873,"=Güvenlik",'[7]TABLO-1'!K4:K32873,"=Bildirimsiz",'[7]TABLO-1'!I4:I32873,"=Uzun",'[7]TABLO-1'!D4:D32873,"=HAVSA")/P8</f>
        <v>0</v>
      </c>
      <c r="K15" s="10">
        <f>SUMIFS('[7]TABLO-1'!Z4:Z32873,'[7]TABLO-1'!H4:H32873,"=Dağıtım-AG",'[7]TABLO-1'!J4:J32873,"=Güvenlik",'[7]TABLO-1'!K4:K32873,"=Bildirimsiz",'[7]TABLO-1'!I4:I32873,"=Uzun",'[7]TABLO-1'!D4:D32873,"=HAVSA")/P14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14753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78.748129248269834</v>
      </c>
      <c r="H16" s="10">
        <f t="shared" si="4"/>
        <v>51.173744758624892</v>
      </c>
      <c r="I16" s="10">
        <f t="shared" si="4"/>
        <v>51.538229474026181</v>
      </c>
      <c r="J16" s="10">
        <f>SUM(J6:J15)</f>
        <v>130.94310344171765</v>
      </c>
      <c r="K16" s="10">
        <f>SUM(K6:K15)</f>
        <v>86.727887580011384</v>
      </c>
      <c r="L16" s="10">
        <f>SUM(L6:L15)</f>
        <v>87.406950871413187</v>
      </c>
      <c r="M16" s="11">
        <f t="shared" si="4"/>
        <v>69.639148343169225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7414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İşletmecisi",'[7]TABLO-1'!K4:K32873,"=Bildirimli",'[7]TABLO-1'!I4:I32873,"=Uzun",'[7]TABLO-1'!D4:D32873,"=HAVSA")/P6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İşletmecisi",'[7]TABLO-1'!K4:K32873,"=Bildirimli",'[7]TABLO-1'!I4:I32873,"=Uzun",'[7]TABLO-1'!D4:D32873,"=HAVSA")/P12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İşletmecisi",'[7]TABLO-1'!K4:K32873,"=Bildirimli",'[7]TABLO-1'!I4:I32873,"=Uzun",'[7]TABLO-1'!D4:D32873,"=HAVSA")/P7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İşletmecisi",'[7]TABLO-1'!K4:K32873,"=Bildirimli",'[7]TABLO-1'!I4:I32873,"=Uzun",'[7]TABLO-1'!D4:D32873,"=HAVSA")/P13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İşletmecisi",'[7]TABLO-1'!K4:K32873,"=Bildirimli",'[7]TABLO-1'!I4:I32873,"=Uzun",'[7]TABLO-1'!D4:D32873,"=HAVSA")/P8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İşletmecisi",'[7]TABLO-1'!K4:K32873,"=Bildirimli",'[7]TABLO-1'!I4:I32873,"=Uzun",'[7]TABLO-1'!D4:D32873,"=HAVSA")/P14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İşletmecisi",'[7]TABLO-1'!K4:K32873,"=Bildirimli",'[7]TABLO-1'!I4:I32873,"=Uzun",'[7]TABLO-1'!D4:D32873,"=HAVSA")/P6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İşletmecisi",'[7]TABLO-1'!K4:K32873,"=Bildirimli",'[7]TABLO-1'!I4:I32873,"=Uzun",'[7]TABLO-1'!D4:D32873,"=HAVSA")/P12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İşletmecisi",'[7]TABLO-1'!K4:K32873,"=Bildirimli",'[7]TABLO-1'!I4:I32873,"=Uzun",'[7]TABLO-1'!D4:D32873,"=HAVSA")/P7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İşletmecisi",'[7]TABLO-1'!K4:K32873,"=Bildirimli",'[7]TABLO-1'!I4:I32873,"=Uzun",'[7]TABLO-1'!D4:D32873,"=HAVSA")/P13</f>
        <v>6.0178603972795897E-2</v>
      </c>
      <c r="I22" s="10">
        <f t="shared" ref="I22:I25" si="6">IFERROR((((G22*$P$7)+(H22*$P$13))/$P$20),"0,00")</f>
        <v>5.9383148997164119E-2</v>
      </c>
      <c r="J22" s="10">
        <f>SUMIFS('[7]TABLO-1'!Y4:Y32873,'[7]TABLO-1'!H4:H32873,"=Dağıtım-OG",'[7]TABLO-1'!J4:J32873,"=Şebeke İşletmecisi",'[7]TABLO-1'!K4:K32873,"=Bildirimli",'[7]TABLO-1'!I4:I32873,"=Uzun",'[7]TABLO-1'!D4:D32873,"=HAVSA")/P8</f>
        <v>16.234482758285093</v>
      </c>
      <c r="K22" s="10">
        <f>SUMIFS('[7]TABLO-1'!Z4:Z32873,'[7]TABLO-1'!H4:H32873,"=Dağıtım-OG",'[7]TABLO-1'!J4:J32873,"=Şebeke İşletmecisi",'[7]TABLO-1'!K4:K32873,"=Bildirimli",'[7]TABLO-1'!I4:I32873,"=Uzun",'[7]TABLO-1'!D4:D32873,"=HAVSA")/P14</f>
        <v>43.140471068034515</v>
      </c>
      <c r="L22" s="10">
        <f t="shared" ref="L22:L25" si="7">IFERROR((((J22*$P$8)+(K22*$P$14))/$P$23),"0,00")</f>
        <v>42.727245244662221</v>
      </c>
      <c r="M22" s="11">
        <f t="shared" ref="M22:M25" si="8">IFERROR((((F22*$P$17)+(I22*$P$20)+(L22*$P$23))/$P$26),"0,00")</f>
        <v>21.591444511231291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SUMIFS('[7]TABLO-1'!U4:U32873,'[7]TABLO-1'!H4:H32873,"=Dağıtım-OG",'[7]TABLO-1'!J4:J32873,"=Güvenlik",'[7]TABLO-1'!K4:K32873,"=Bildirimli",'[7]TABLO-1'!I4:I32873,"=Uzun",'[7]TABLO-1'!D4:D32873,"=HAVSA")/P6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SUMIFS('[7]TABLO-1'!V4:V32873,'[7]TABLO-1'!H4:H32873,"=Dağıtım-OG",'[7]TABLO-1'!J4:J32873,"=Güvenlik",'[7]TABLO-1'!K4:K32873,"=Bildirimli",'[7]TABLO-1'!I4:I32873,"=Uzun",'[7]TABLO-1'!D4:D32873,"=HAVSA")/P12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SUMIFS('[7]TABLO-1'!W4:W32873,'[7]TABLO-1'!H4:H32873,"=Dağıtım-OG",'[7]TABLO-1'!J4:J32873,"=Güvenlik",'[7]TABLO-1'!K4:K32873,"=Bildirimli",'[7]TABLO-1'!I4:I32873,"=Uzun",'[7]TABLO-1'!D4:D32873,"=HAVSA")/P7</f>
        <v>0</v>
      </c>
      <c r="H23" s="10">
        <f>SUMIFS('[7]TABLO-1'!X4:X32873,'[7]TABLO-1'!H4:H32873,"=Dağıtım-OG",'[7]TABLO-1'!J4:J32873,"=Güvenlik",'[7]TABLO-1'!K4:K32873,"=Bildirimli",'[7]TABLO-1'!I4:I32873,"=Uzun",'[7]TABLO-1'!D4:D32873,"=HAVSA")/P13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SUMIFS('[7]TABLO-1'!Y4:Y32873,'[7]TABLO-1'!H4:H32873,"=Dağıtım-OG",'[7]TABLO-1'!J4:J32873,"=Güvenlik",'[7]TABLO-1'!K4:K32873,"=Bildirimli",'[7]TABLO-1'!I4:I32873,"=Uzun",'[7]TABLO-1'!D4:D32873,"=HAVSA")/P8</f>
        <v>0</v>
      </c>
      <c r="K23" s="10">
        <f>SUMIFS('[7]TABLO-1'!Z4:Z32873,'[7]TABLO-1'!H4:H32873,"=Dağıtım-OG",'[7]TABLO-1'!J4:J32873,"=Güvenlik",'[7]TABLO-1'!K4:K32873,"=Bildirimli",'[7]TABLO-1'!I4:I32873,"=Uzun",'[7]TABLO-1'!D4:D32873,"=HAVSA")/P14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7553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İşletmecisi",'[7]TABLO-1'!K4:K32873,"=Bildirimli",'[7]TABLO-1'!I4:I32873,"=Uzun",'[7]TABLO-1'!D4:D32873,"=HAVSA")/P6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İşletmecisi",'[7]TABLO-1'!K4:K32873,"=Bildirimli",'[7]TABLO-1'!I4:I32873,"=Uzun",'[7]TABLO-1'!D4:D32873,"=HAVSA")/P12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İşletmecisi",'[7]TABLO-1'!K4:K32873,"=Bildirimli",'[7]TABLO-1'!I4:I32873,"=Uzun",'[7]TABLO-1'!D4:D32873,"=HAVSA")/P7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İşletmecisi",'[7]TABLO-1'!K4:K32873,"=Bildirimli",'[7]TABLO-1'!I4:I32873,"=Uzun",'[7]TABLO-1'!D4:D32873,"=HAVSA")/P13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İşletmecisi",'[7]TABLO-1'!K4:K32873,"=Bildirimli",'[7]TABLO-1'!I4:I32873,"=Uzun",'[7]TABLO-1'!D4:D32873,"=HAVSA")/P8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İşletmecisi",'[7]TABLO-1'!K4:K32873,"=Bildirimli",'[7]TABLO-1'!I4:I32873,"=Uzun",'[7]TABLO-1'!D4:D32873,"=HAVSA")/P14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SUMIFS('[7]TABLO-1'!U4:U32873,'[7]TABLO-1'!H4:H32873,"=Dağıtım-AG",'[7]TABLO-1'!J4:J32873,"=Güvenlik",'[7]TABLO-1'!K4:K32873,"=Bildirimli",'[7]TABLO-1'!I4:I32873,"=Uzun",'[7]TABLO-1'!D4:D32873,"=HAVSA")/P6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SUMIFS('[7]TABLO-1'!V4:V32873,'[7]TABLO-1'!H4:H32873,"=Dağıtım-AG",'[7]TABLO-1'!J4:J32873,"=Güvenlik",'[7]TABLO-1'!K4:K32873,"=Bildirimli",'[7]TABLO-1'!I4:I32873,"=Uzun",'[7]TABLO-1'!D4:D32873,"=HAVSA")/P12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SUMIFS('[7]TABLO-1'!W4:W32873,'[7]TABLO-1'!H4:H32873,"=Dağıtım-AG",'[7]TABLO-1'!J4:J32873,"=Güvenlik",'[7]TABLO-1'!K4:K32873,"=Bildirimli",'[7]TABLO-1'!I4:I32873,"=Uzun",'[7]TABLO-1'!D4:D32873,"=HAVSA")/P7</f>
        <v>0</v>
      </c>
      <c r="H25" s="10">
        <f>SUMIFS('[7]TABLO-1'!X4:X32873,'[7]TABLO-1'!H4:H32873,"=Dağıtım-AG",'[7]TABLO-1'!J4:J32873,"=Güvenlik",'[7]TABLO-1'!K4:K32873,"=Bildirimli",'[7]TABLO-1'!I4:I32873,"=Uzun",'[7]TABLO-1'!D4:D32873,"=HAVSA")/P13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SUMIFS('[7]TABLO-1'!Y4:Y32873,'[7]TABLO-1'!H4:H32873,"=Dağıtım-AG",'[7]TABLO-1'!J4:J32873,"=Güvenlik",'[7]TABLO-1'!K4:K32873,"=Bildirimli",'[7]TABLO-1'!I4:I32873,"=Uzun",'[7]TABLO-1'!D4:D32873,"=HAVSA")/P8</f>
        <v>0</v>
      </c>
      <c r="K25" s="10">
        <f>SUMIFS('[7]TABLO-1'!Z4:Z32873,'[7]TABLO-1'!H4:H32873,"=Dağıtım-AG",'[7]TABLO-1'!J4:J32873,"=Güvenlik",'[7]TABLO-1'!K4:K32873,"=Bildirimli",'[7]TABLO-1'!I4:I32873,"=Uzun",'[7]TABLO-1'!D4:D32873,"=HAVSA")/P14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6.0178603972795897E-2</v>
      </c>
      <c r="I26" s="10">
        <f t="shared" si="9"/>
        <v>5.9383148997164119E-2</v>
      </c>
      <c r="J26" s="10">
        <f t="shared" si="9"/>
        <v>16.234482758285093</v>
      </c>
      <c r="K26" s="10">
        <f t="shared" si="9"/>
        <v>43.140471068034515</v>
      </c>
      <c r="L26" s="10">
        <f t="shared" si="9"/>
        <v>42.727245244662221</v>
      </c>
      <c r="M26" s="11">
        <f t="shared" si="9"/>
        <v>21.591444511231291</v>
      </c>
      <c r="O26" s="43" t="s">
        <v>22</v>
      </c>
      <c r="P26" s="44">
        <f>P20+P17+P23</f>
        <v>14967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İşletmecisi",'[7]TABLO-1'!K4:K32873,"=Bildirimsiz",'[7]TABLO-1'!I4:I32873,"=Uzun",'[7]TABLO-1'!D4:D32873,"=HAVSA")/P6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İşletmecisi",'[7]TABLO-1'!K4:K32873,"=Bildirimsiz",'[7]TABLO-1'!I4:I32873,"=Uzun",'[7]TABLO-1'!D4:D32873,"=HAVSA")/P12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İşletmecisi",'[7]TABLO-1'!K4:K32873,"=Bildirimsiz",'[7]TABLO-1'!I4:I32873,"=Uzun",'[7]TABLO-1'!D4:D32873,"=HAVSA")/P7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İşletmecisi",'[7]TABLO-1'!K4:K32873,"=Bildirimsiz",'[7]TABLO-1'!I4:I32873,"=Uzun",'[7]TABLO-1'!D4:D32873,"=HAVSA")/P13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İşletmecisi",'[7]TABLO-1'!K4:K32873,"=Bildirimsiz",'[7]TABLO-1'!I4:I32873,"=Uzun",'[7]TABLO-1'!D4:D32873,"=HAVSA")/P8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İşletmecisi",'[7]TABLO-1'!K4:K32873,"=bildirimsiz",'[7]TABLO-1'!I4:I32873,"=Uzun",'[7]TABLO-1'!D4:D32873,"=HAVSA")/P14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Sebep",'[7]TABLO-1'!K4:K32873,"=Bildirimsiz",'[7]TABLO-1'!I4:I32873,"=Uzun",'[7]TABLO-1'!D4:D32873,"=HAVSA")/P6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Sebep",'[7]TABLO-1'!K4:K32873,"=Bildirimsiz",'[7]TABLO-1'!I4:I32873,"=Uzun",'[7]TABLO-1'!D4:D32873,"=HAVSA")/P12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Sebep",'[7]TABLO-1'!K4:K32873,"=Bildirimsiz",'[7]TABLO-1'!I4:I32873,"=Uzun",'[7]TABLO-1'!D4:D32873,"=HAVSA")/P7</f>
        <v>0</v>
      </c>
      <c r="H32" s="10">
        <f>SUMIFS('[7]TABLO-1'!R4:R32873,'[7]TABLO-1'!H4:H32873,"=İletim",'[7]TABLO-1'!J4:J32873,"=Mücbir Sebep",'[7]TABLO-1'!K4:K32873,"=Bildirimsiz",'[7]TABLO-1'!I4:I32873,"=Uzun",'[7]TABLO-1'!D4:D32873,"=HAVSA")/P13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Sebep",'[7]TABLO-1'!K4:K32873,"=Bildirimsiz",'[7]TABLO-1'!I4:I32873,"=Uzun",'[7]TABLO-1'!D4:D32873,"=HAVSA")/P8</f>
        <v>0</v>
      </c>
      <c r="K32" s="10">
        <f>SUMIFS('[7]TABLO-1'!T4:T32873,'[7]TABLO-1'!H4:H32873,"=İletim",'[7]TABLO-1'!J4:J32873,"=Mücbir Sebep",'[7]TABLO-1'!K4:K32873,"=bildirimsiz",'[7]TABLO-1'!I4:I32873,"=Uzun",'[7]TABLO-1'!D4:D32873,"=HAVSA")/P14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İşletmecisi",'[7]TABLO-1'!K4:K32873,"=Bildirimsiz",'[7]TABLO-1'!I4:I32873,"=Uzun",'[7]TABLO-1'!D4:D32873,"=HAVSA")/P6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İşletmecisi",'[7]TABLO-1'!K4:K32873,"=Bildirimsiz",'[7]TABLO-1'!I4:I32873,"=Uzun",'[7]TABLO-1'!D4:D32873,"=HAVSA")/P12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İşletmecisi",'[7]TABLO-1'!K4:K32873,"=Bildirimsiz",'[7]TABLO-1'!I4:I32873,"=Uzun",'[7]TABLO-1'!D4:D32873,"=HAVSA")/P7</f>
        <v>1.1428571428571428</v>
      </c>
      <c r="H33" s="10">
        <f>SUMIFS('[7]TABLO-1'!R4:R32873,'[7]TABLO-1'!H4:H32873,"=Dağıtım-OG",'[7]TABLO-1'!J4:J32873,"=Şebeke İşletmecisi",'[7]TABLO-1'!K4:K32873,"=Bildirimsiz",'[7]TABLO-1'!I4:I32873,"=Uzun",'[7]TABLO-1'!D4:D32873,"=HAVSA")/P13</f>
        <v>0.81560962274466919</v>
      </c>
      <c r="I33" s="10">
        <f t="shared" si="11"/>
        <v>0.81993525762071751</v>
      </c>
      <c r="J33" s="10">
        <f>SUMIFS('[7]TABLO-1'!S4:S32873,'[7]TABLO-1'!H4:H32873,"=Dağıtım-OG",'[7]TABLO-1'!J4:J32873,"=Şebeke İşletmecisi",'[7]TABLO-1'!K4:K32873,"=Bildirimsiz",'[7]TABLO-1'!I4:I32873,"=Uzun",'[7]TABLO-1'!D4:D32873,"=HAVSA")/P8</f>
        <v>2.353448275862069</v>
      </c>
      <c r="K33" s="10">
        <f>SUMIFS('[7]TABLO-1'!T4:T32873,'[7]TABLO-1'!H4:H32873,"=Dağıtım-OG",'[7]TABLO-1'!J4:J32873,"=Şebeke İşletmecisi",'[7]TABLO-1'!K4:K32873,"=bildirimsiz",'[7]TABLO-1'!I4:I32873,"=Uzun",'[7]TABLO-1'!D4:D32873,"=HAVSA")/P14</f>
        <v>2.2303348124243647</v>
      </c>
      <c r="L33" s="10">
        <f t="shared" si="12"/>
        <v>2.2322256057195817</v>
      </c>
      <c r="M33" s="11">
        <f t="shared" si="13"/>
        <v>1.5326384713035344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SUMIFS('[7]TABLO-1'!O4:O32873,'[7]TABLO-1'!H4:H32873,"=Dağıtım-OG",'[7]TABLO-1'!J4:J32873,"=Dışsal",'[7]TABLO-1'!K4:K32873,"=Bildirimsiz",'[7]TABLO-1'!I4:I32873,"=Uzun",'[7]TABLO-1'!D4:D32873,"=HAVSA")/P6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SUMIFS('[7]TABLO-1'!P4:P32873,'[7]TABLO-1'!H4:H32873,"=Dağıtım-OG",'[7]TABLO-1'!J4:J32873,"=Dışsal",'[7]TABLO-1'!K4:K32873,"=Bildirimsiz",'[7]TABLO-1'!I4:I32873,"=Uzun",'[7]TABLO-1'!D4:D32873,"=HAVSA")/P12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SUMIFS('[7]TABLO-1'!Q4:Q32873,'[7]TABLO-1'!H4:H32873,"=Dağıtım-OG",'[7]TABLO-1'!J4:J32873,"=Dışsal",'[7]TABLO-1'!K4:K32873,"=Bildirimsiz",'[7]TABLO-1'!I4:I32873,"=Uzun",'[7]TABLO-1'!D4:D32873,"=HAVSA")/P7</f>
        <v>0</v>
      </c>
      <c r="H34" s="10">
        <f>SUMIFS('[7]TABLO-1'!R4:R32873,'[7]TABLO-1'!H4:H32873,"=Dağıtım-OG",'[7]TABLO-1'!J4:J32873,"=Dışsal",'[7]TABLO-1'!K4:K32873,"=Bildirimsiz",'[7]TABLO-1'!I4:I32873,"=Uzun",'[7]TABLO-1'!D4:D32873,"=HAVSA")/P13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SUMIFS('[7]TABLO-1'!S4:S32873,'[7]TABLO-1'!H4:H32873,"=Dağıtım-OG",'[7]TABLO-1'!J4:J32873,"=Dışsal",'[7]TABLO-1'!K4:K32873,"=Bildirimsiz",'[7]TABLO-1'!I4:I32873,"=Uzun",'[7]TABLO-1'!D4:D32873,"=HAVSA")/P8</f>
        <v>0</v>
      </c>
      <c r="K34" s="10">
        <f>SUMIFS('[7]TABLO-1'!T4:T32873,'[7]TABLO-1'!H4:H32873,"=Dağıtım-OG",'[7]TABLO-1'!J4:J32873,"=Dışsal",'[7]TABLO-1'!K4:K32873,"=bildirimsiz",'[7]TABLO-1'!I4:I32873,"=Uzun",'[7]TABLO-1'!D4:D32873,"=HAVSA")/P14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Sebep",'[7]TABLO-1'!K4:K32873,"=Bildirimsiz",'[7]TABLO-1'!I4:I32873,"=Uzun",'[7]TABLO-1'!D4:D32873,"=HAVSA")/P6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Sebep",'[7]TABLO-1'!K4:K32873,"=Bildirimsiz",'[7]TABLO-1'!I4:I32873,"=Uzun",'[7]TABLO-1'!D4:D32873,"=HAVSA")/P12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Sebep",'[7]TABLO-1'!K4:K32873,"=Bildirimsiz",'[7]TABLO-1'!I4:I32873,"=Uzun",'[7]TABLO-1'!D4:D32873,"=HAVSA")/P7</f>
        <v>0</v>
      </c>
      <c r="H35" s="10">
        <f>SUMIFS('[7]TABLO-1'!R4:R32873,'[7]TABLO-1'!H4:H32873,"=Dağıtım-OG",'[7]TABLO-1'!J4:J32873,"=Mücbir Sebep",'[7]TABLO-1'!K4:K32873,"=Bildirimsiz",'[7]TABLO-1'!I4:I32873,"=Uzun",'[7]TABLO-1'!D4:D32873,"=HAVSA")/P13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Sebep",'[7]TABLO-1'!K4:K32873,"=Bildirimsiz",'[7]TABLO-1'!I4:I32873,"=Uzun",'[7]TABLO-1'!D4:D32873,"=HAVSA")/P8</f>
        <v>0</v>
      </c>
      <c r="K35" s="10">
        <f>SUMIFS('[7]TABLO-1'!T4:T32873,'[7]TABLO-1'!H4:H32873,"=Dağıtım-OG",'[7]TABLO-1'!J4:J32873,"=Mücbir Sebep",'[7]TABLO-1'!K4:K32873,"=bildirimsiz",'[7]TABLO-1'!I4:I32873,"=Uzun",'[7]TABLO-1'!D4:D32873,"=HAVSA")/P14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SUMIFS('[7]TABLO-1'!O4:O32873,'[7]TABLO-1'!H4:H32873,"=Dağıtım-OG",'[7]TABLO-1'!J4:J32873,"=Güvenlik",'[7]TABLO-1'!K4:K32873,"=Bildirimsiz",'[7]TABLO-1'!I4:I32873,"=Uzun",'[7]TABLO-1'!D4:D32873,"=HAVSA")/P6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SUMIFS('[7]TABLO-1'!P4:P32873,'[7]TABLO-1'!H4:H32873,"=Dağıtım-OG",'[7]TABLO-1'!J4:J32873,"=Güvenlik",'[7]TABLO-1'!K4:K32873,"=Bildirimsiz",'[7]TABLO-1'!I4:I32873,"=Uzun",'[7]TABLO-1'!D4:D32873,"=HAVSA")/P12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SUMIFS('[7]TABLO-1'!Q4:Q32873,'[7]TABLO-1'!H4:H32873,"=Dağıtım-OG",'[7]TABLO-1'!J4:J32873,"=Güvenlik",'[7]TABLO-1'!K4:K32873,"=Bildirimsiz",'[7]TABLO-1'!I4:I32873,"=Uzun",'[7]TABLO-1'!D4:D32873,"=HAVSA")/P7</f>
        <v>0</v>
      </c>
      <c r="H36" s="10">
        <f>SUMIFS('[7]TABLO-1'!R4:R32873,'[7]TABLO-1'!H4:H32873,"=Dağıtım-OG",'[7]TABLO-1'!J4:J32873,"=Güvenlik",'[7]TABLO-1'!K4:K32873,"=Bildirimsiz",'[7]TABLO-1'!I4:I32873,"=Uzun",'[7]TABLO-1'!D4:D32873,"=HAVSA")/P13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SUMIFS('[7]TABLO-1'!S4:S32873,'[7]TABLO-1'!H4:H32873,"=Dağıtım-OG",'[7]TABLO-1'!J4:J32873,"=Güvenlik",'[7]TABLO-1'!K4:K32873,"=Bildirimsiz",'[7]TABLO-1'!I4:I32873,"=Uzun",'[7]TABLO-1'!D4:D32873,"=HAVSA")/P8</f>
        <v>0</v>
      </c>
      <c r="K36" s="10">
        <f>SUMIFS('[7]TABLO-1'!T4:T32873,'[7]TABLO-1'!H4:H32873,"=Dağıtım-OG",'[7]TABLO-1'!J4:J32873,"=Güvenlik",'[7]TABLO-1'!K4:K32873,"=bildirimsiz",'[7]TABLO-1'!I4:I32873,"=Uzun",'[7]TABLO-1'!D4:D32873,"=HAVSA")/P14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İşletmecisi",'[7]TABLO-1'!K4:K32873,"=Bildirimsiz",'[7]TABLO-1'!I4:I32873,"=Uzun",'[7]TABLO-1'!D4:D32873,"=HAVSA")/P6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İşletmecisi",'[7]TABLO-1'!K4:K32873,"=Bildirimsiz",'[7]TABLO-1'!I4:I32873,"=Uzun",'[7]TABLO-1'!D4:D32873,"=HAVSA")/P12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İşletmecisi",'[7]TABLO-1'!K4:K32873,"=Bildirimsiz",'[7]TABLO-1'!I4:I32873,"=Uzun",'[7]TABLO-1'!D4:D32873,"=HAVSA")/P7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İşletmecisi",'[7]TABLO-1'!K4:K32873,"=Bildirimsiz",'[7]TABLO-1'!I4:I32873,"=Uzun",'[7]TABLO-1'!D4:D32873,"=HAVSA")/P13</f>
        <v>1.7359212684527062E-2</v>
      </c>
      <c r="I37" s="10">
        <f t="shared" si="11"/>
        <v>1.7129754518478552E-2</v>
      </c>
      <c r="J37" s="12">
        <f>SUMIFS('[7]TABLO-1'!S4:S32873,'[7]TABLO-1'!H4:H32873,"=Dağıtım-AG",'[7]TABLO-1'!J4:J32873,"=Şebeke İşletmecisi",'[7]TABLO-1'!K4:K32873,"=Bildirimsiz",'[7]TABLO-1'!I4:I32873,"=Uzun",'[7]TABLO-1'!D4:D32873,"=HAVSA")/P8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İşletmecisi",'[7]TABLO-1'!K4:K32873,"=bildirimsiz",'[7]TABLO-1'!I4:I32873,"=Uzun",'[7]TABLO-1'!D4:D32873,"=HAVSA")/P14</f>
        <v>0.11039397606561786</v>
      </c>
      <c r="L37" s="10">
        <f t="shared" si="12"/>
        <v>0.10869853038527737</v>
      </c>
      <c r="M37" s="11">
        <f t="shared" si="13"/>
        <v>6.3339346562437365E-2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SUMIFS('[7]TABLO-1'!O4:O32873,'[7]TABLO-1'!H4:H32873,"=Dağıtım-AG",'[7]TABLO-1'!J4:J32873,"=Dışsal",'[7]TABLO-1'!K4:K32873,"=Bildirimsiz",'[7]TABLO-1'!I4:I32873,"=Uzun",'[7]TABLO-1'!D4:D32873,"=HAVSA")/P6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SUMIFS('[7]TABLO-1'!P4:P32873,'[7]TABLO-1'!H4:H32873,"=Dağıtım-AG",'[7]TABLO-1'!J4:J32873,"=Dışsal",'[7]TABLO-1'!K4:K32873,"=Bildirimsiz",'[7]TABLO-1'!I4:I32873,"=Uzun",'[7]TABLO-1'!D4:D32873,"=HAVSA")/P12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SUMIFS('[7]TABLO-1'!Q4:Q32873,'[7]TABLO-1'!H4:H32873,"=Dağıtım-AG",'[7]TABLO-1'!J4:J32873,"=Dışsal",'[7]TABLO-1'!K4:K32873,"=Bildirimsiz",'[7]TABLO-1'!I4:I32873,"=Uzun",'[7]TABLO-1'!D4:D32873,"=HAVSA")/P7</f>
        <v>0</v>
      </c>
      <c r="H38" s="10">
        <f>SUMIFS('[7]TABLO-1'!R4:R32873,'[7]TABLO-1'!H4:H32873,"=Dağıtım-AG",'[7]TABLO-1'!J4:J32873,"=Dışsal",'[7]TABLO-1'!K4:K32873,"=Bildirimsiz",'[7]TABLO-1'!I4:I32873,"=Uzun",'[7]TABLO-1'!D4:D32873,"=HAVSA")/P13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SUMIFS('[7]TABLO-1'!S4:S32873,'[7]TABLO-1'!H4:H32873,"=Dağıtım-AG",'[7]TABLO-1'!J4:J32873,"=Dışsal",'[7]TABLO-1'!K4:K32873,"=Bildirimsiz",'[7]TABLO-1'!I4:I32873,"=Uzun",'[7]TABLO-1'!D4:D32873,"=HAVSA")/P8</f>
        <v>0</v>
      </c>
      <c r="K38" s="10">
        <f>SUMIFS('[7]TABLO-1'!T4:T32873,'[7]TABLO-1'!H4:H32873,"=Dağıtım-AG",'[7]TABLO-1'!J4:J32873,"=Dışsal",'[7]TABLO-1'!K4:K32873,"=bildirimsiz",'[7]TABLO-1'!I4:I32873,"=Uzun",'[7]TABLO-1'!D4:D32873,"=HAVSA")/P14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Sebep",'[7]TABLO-1'!K4:K32873,"=Bildirimsiz",'[7]TABLO-1'!I4:I32873,"=Uzun",'[7]TABLO-1'!D4:D32873,"=HAVSA")/P6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Sebep",'[7]TABLO-1'!K4:K32873,"=Bildirimsiz",'[7]TABLO-1'!I4:I32873,"=Uzun",'[7]TABLO-1'!D4:D32873,"=HAVSA")/P12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Sebep",'[7]TABLO-1'!K4:K32873,"=Bildirimsiz",'[7]TABLO-1'!I4:I32873,"=Uzun",'[7]TABLO-1'!D4:D32873,"=HAVSA")/P7</f>
        <v>0</v>
      </c>
      <c r="H39" s="10">
        <f>SUMIFS('[7]TABLO-1'!R4:R32873,'[7]TABLO-1'!H4:H32873,"=Dağıtım-AG",'[7]TABLO-1'!J4:J32873,"=Mücbir Sebep",'[7]TABLO-1'!K4:K32873,"=Bildirimsiz",'[7]TABLO-1'!I4:I32873,"=Uzun",'[7]TABLO-1'!D4:D32873,"=HAVSA")/P13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Sebep",'[7]TABLO-1'!K4:K32873,"=Bildirimsiz",'[7]TABLO-1'!I4:I32873,"=Uzun",'[7]TABLO-1'!D4:D32873,"=HAVSA")/P8</f>
        <v>0</v>
      </c>
      <c r="K39" s="10">
        <f>SUMIFS('[7]TABLO-1'!T4:T32873,'[7]TABLO-1'!H4:H32873,"=Dağıtım-AG",'[7]TABLO-1'!J4:J32873,"=Mücbir Sebep",'[7]TABLO-1'!K4:K32873,"=bildirimsiz",'[7]TABLO-1'!I4:I32873,"=Uzun",'[7]TABLO-1'!D4:D32873,"=HAVSA")/P14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SUMIFS('[7]TABLO-1'!O4:O32873,'[7]TABLO-1'!H4:H32873,"=Dağıtım-AG",'[7]TABLO-1'!J4:J32873,"=Güvenlik",'[7]TABLO-1'!K4:K32873,"=Bildirimsiz",'[7]TABLO-1'!I4:I32873,"=Uzun",'[7]TABLO-1'!D4:D32873,"=HAVSA")/P6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SUMIFS('[7]TABLO-1'!P4:P32873,'[7]TABLO-1'!H4:H32873,"=Dağıtım-AG",'[7]TABLO-1'!J4:J32873,"=Güvenlik",'[7]TABLO-1'!K4:K32873,"=Bildirimsiz",'[7]TABLO-1'!I4:I32873,"=Uzun",'[7]TABLO-1'!D4:D32873,"=HAVSA")/P12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SUMIFS('[7]TABLO-1'!Q4:Q32873,'[7]TABLO-1'!H4:H32873,"=Dağıtım-AG",'[7]TABLO-1'!J4:J32873,"=Güvenlik",'[7]TABLO-1'!K4:K32873,"=Bildirimsiz",'[7]TABLO-1'!I4:I32873,"=Uzun",'[7]TABLO-1'!D4:D32873,"=HAVSA")/P7</f>
        <v>0</v>
      </c>
      <c r="H40" s="10">
        <f>SUMIFS('[7]TABLO-1'!R4:R32873,'[7]TABLO-1'!H4:H32873,"=Dağıtım-AG",'[7]TABLO-1'!J4:J32873,"=Güvenlik",'[7]TABLO-1'!K4:K32873,"=Bildirimsiz",'[7]TABLO-1'!I4:I32873,"=Uzun",'[7]TABLO-1'!D4:D32873,"=HAVSA")/P13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SUMIFS('[7]TABLO-1'!S4:S32873,'[7]TABLO-1'!H4:H32873,"=Dağıtım-AG",'[7]TABLO-1'!J4:J32873,"=Güvenlik",'[7]TABLO-1'!K4:K32873,"=Bildirimsiz",'[7]TABLO-1'!I4:I32873,"=Uzun",'[7]TABLO-1'!D4:D32873,"=HAVSA")/P8</f>
        <v>0</v>
      </c>
      <c r="K40" s="10">
        <f>SUMIFS('[7]TABLO-1'!T4:T32873,'[7]TABLO-1'!H4:H32873,"=Dağıtım-AG",'[7]TABLO-1'!J4:J32873,"=Güvenlik",'[7]TABLO-1'!K4:K32873,"=bildirimsiz",'[7]TABLO-1'!I4:I32873,"=Uzun",'[7]TABLO-1'!D4:D32873,"=HAVSA")/P14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1.1428571428571428</v>
      </c>
      <c r="H41" s="10">
        <f t="shared" si="14"/>
        <v>0.83296883542919631</v>
      </c>
      <c r="I41" s="10">
        <f t="shared" si="14"/>
        <v>0.83706501213919604</v>
      </c>
      <c r="J41" s="10">
        <f t="shared" si="14"/>
        <v>2.353448275862069</v>
      </c>
      <c r="K41" s="10">
        <f t="shared" si="14"/>
        <v>2.3407287884899826</v>
      </c>
      <c r="L41" s="10">
        <f t="shared" si="14"/>
        <v>2.3409241361048592</v>
      </c>
      <c r="M41" s="10">
        <f t="shared" si="14"/>
        <v>1.5959778178659718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İşletmecisi",'[7]TABLO-1'!K4:K32873,"=Bildirimli",'[7]TABLO-1'!I4:I32873,"=Uzun",'[7]TABLO-1'!D4:D32873,"=HAVSA")/P6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İşletmecisi",'[7]TABLO-1'!K4:K32873,"=Bildirimli",'[7]TABLO-1'!I4:I32873,"=Uzun",'[7]TABLO-1'!D4:D32873,"=HAVSA")/P12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İşletmecisi",'[7]TABLO-1'!K4:K32873,"=Bildirimli",'[7]TABLO-1'!I4:I32873,"=Uzun",'[7]TABLO-1'!D4:D32873,"=HAVSA")/P7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İşletmecisi",'[7]TABLO-1'!K4:K32873,"=Bildirimli",'[7]TABLO-1'!I4:I32873,"=Uzun",'[7]TABLO-1'!D4:D32873,"=HAVSA")/P13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İşletmecisi",'[7]TABLO-1'!K4:K32873,"=Bildirimli",'[7]TABLO-1'!I4:I32873,"=Uzun",'[7]TABLO-1'!D4:D32873,"=HAVSA")/P8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İşletmecisi",'[7]TABLO-1'!K4:K32873,"=bildirimli",'[7]TABLO-1'!I4:I32873,"=Uzun",'[7]TABLO-1'!D4:D32873,"=HAVSA")/P14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İşletmecisi",'[7]TABLO-1'!K4:K32873,"=Bildirimli",'[7]TABLO-1'!I4:I32873,"=Uzun",'[7]TABLO-1'!D4:D32873,"=HAVSA")/P6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İşletmecisi",'[7]TABLO-1'!K4:K32873,"=Bildirimli",'[7]TABLO-1'!I4:I32873,"=Uzun",'[7]TABLO-1'!D4:D32873,"=HAVSA")/P12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İşletmecisi",'[7]TABLO-1'!K4:K32873,"=Bildirimli",'[7]TABLO-1'!I4:I32873,"=Uzun",'[7]TABLO-1'!D4:D32873,"=HAVSA")/P7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İşletmecisi",'[7]TABLO-1'!K4:K32873,"=Bildirimli",'[7]TABLO-1'!I4:I32873,"=Uzun",'[7]TABLO-1'!D4:D32873,"=HAVSA")/P13</f>
        <v>1.366867140513942E-4</v>
      </c>
      <c r="I47" s="10">
        <f t="shared" ref="I47:I50" si="16">IFERROR((((G47*$P$7)+(H47*$P$13))/$P$20),"0,00")</f>
        <v>1.3487995683841381E-4</v>
      </c>
      <c r="J47" s="10">
        <f>SUMIFS('[7]TABLO-1'!S4:S32873,'[7]TABLO-1'!H4:H32873,"=Dağıtım-OG",'[7]TABLO-1'!J4:J32873,"=Şebeke İşletmecisi",'[7]TABLO-1'!K4:K32873,"=Bildirimli",'[7]TABLO-1'!I4:I32873,"=Uzun",'[7]TABLO-1'!D4:D32873,"=HAVSA")/P8</f>
        <v>7.7586206896551727E-2</v>
      </c>
      <c r="K47" s="10">
        <f>SUMIFS('[7]TABLO-1'!T4:T32873,'[7]TABLO-1'!H4:H32873,"=Dağıtım-OG",'[7]TABLO-1'!J4:J32873,"=Şebeke İşletmecisi",'[7]TABLO-1'!K4:K32873,"=bildirimli",'[7]TABLO-1'!I4:I32873,"=Uzun",'[7]TABLO-1'!D4:D32873,"=HAVSA")/P14</f>
        <v>0.10797364528707812</v>
      </c>
      <c r="L47" s="10">
        <f t="shared" ref="L47:L50" si="17">IFERROR((((J47*$P$8)+(K47*$P$14))/$P$23),"0,00")</f>
        <v>0.10750695088044486</v>
      </c>
      <c r="M47" s="11">
        <f t="shared" ref="M47:M50" si="18">IFERROR((((F47*$P$17)+(I47*$P$20)+(L47*$P$23))/$P$26),"0,00")</f>
        <v>5.431950290639407E-2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SUMIFS('[7]TABLO-1'!O4:O32873,'[7]TABLO-1'!H4:H32873,"=Dağıtım-OG",'[7]TABLO-1'!J4:J32873,"=Güvenlik",'[7]TABLO-1'!K4:K32873,"=Bildirimli",'[7]TABLO-1'!I4:I32873,"=Uzun",'[7]TABLO-1'!D4:D32873,"=HAVSA")/P6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SUMIFS('[7]TABLO-1'!P4:P32873,'[7]TABLO-1'!H4:H32873,"=Dağıtım-OG",'[7]TABLO-1'!J4:J32873,"=Güvenlik",'[7]TABLO-1'!K4:K32873,"=Bildirimli",'[7]TABLO-1'!I4:I32873,"=Uzun",'[7]TABLO-1'!D4:D32873,"=HAVSA")/P12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SUMIFS('[7]TABLO-1'!Q4:Q32873,'[7]TABLO-1'!H4:H32873,"=Dağıtım-OG",'[7]TABLO-1'!J4:J32873,"=Güvenlik",'[7]TABLO-1'!K4:K32873,"=Bildirimli",'[7]TABLO-1'!I4:I32873,"=Uzun",'[7]TABLO-1'!D4:D32873,"=HAVSA")/P7</f>
        <v>0</v>
      </c>
      <c r="H48" s="10">
        <f>SUMIFS('[7]TABLO-1'!R4:R32873,'[7]TABLO-1'!H4:H32873,"=Dağıtım-OG",'[7]TABLO-1'!J4:J32873,"=Güvenlik",'[7]TABLO-1'!K4:K32873,"=Bildirimli",'[7]TABLO-1'!I4:I32873,"=Uzun",'[7]TABLO-1'!D4:D32873,"=HAVSA")/P13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SUMIFS('[7]TABLO-1'!S4:S32873,'[7]TABLO-1'!H4:H32873,"=Dağıtım-OG",'[7]TABLO-1'!J4:J32873,"=Güvenlik",'[7]TABLO-1'!K4:K32873,"=Bildirimli",'[7]TABLO-1'!I4:I32873,"=Uzun",'[7]TABLO-1'!D4:D32873,"=HAVSA")/P8</f>
        <v>0</v>
      </c>
      <c r="K48" s="10">
        <f>SUMIFS('[7]TABLO-1'!T4:T32873,'[7]TABLO-1'!H4:H32873,"=Dağıtım-OG",'[7]TABLO-1'!J4:J32873,"=Güvenlik",'[7]TABLO-1'!K4:K32873,"=bildirimli",'[7]TABLO-1'!I4:I32873,"=Uzun",'[7]TABLO-1'!D4:D32873,"=HAVSA")/P14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İşletmecisi",'[7]TABLO-1'!K4:K32873,"=Bildirimli",'[7]TABLO-1'!I4:I32873,"=Uzun",'[7]TABLO-1'!D4:D32873,"=HAVSA")/P6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İşletmecisi",'[7]TABLO-1'!K4:K32873,"=Bildirimli",'[7]TABLO-1'!I4:I32873,"=Uzun",'[7]TABLO-1'!D4:D32873,"=HAVSA")/P12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İşletmecisi",'[7]TABLO-1'!K4:K32873,"=Bildirimli",'[7]TABLO-1'!I4:I32873,"=Uzun",'[7]TABLO-1'!D4:D32873,"=HAVSA")/P7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İşletmecisi",'[7]TABLO-1'!K4:K32873,"=Bildirimli",'[7]TABLO-1'!I4:I32873,"=Uzun",'[7]TABLO-1'!D4:D32873,"=HAVSA")/P13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İşletmecisi",'[7]TABLO-1'!K4:K32873,"=Bildirimli",'[7]TABLO-1'!I4:I32873,"=Uzun",'[7]TABLO-1'!D4:D32873,"=HAVSA")/P8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İşletmecisi",'[7]TABLO-1'!K4:K32873,"=bildirimli",'[7]TABLO-1'!I4:I32873,"=Uzun",'[7]TABLO-1'!D4:D32873,"=HAVSA")/P14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SUMIFS('[7]TABLO-1'!O4:O32873,'[7]TABLO-1'!H4:H32873,"=Dağıtım-AG",'[7]TABLO-1'!J4:J32873,"=Güvenlik",'[7]TABLO-1'!K4:K32873,"=Bildirimli",'[7]TABLO-1'!I4:I32873,"=Uzun",'[7]TABLO-1'!D4:D32873,"=HAVSA")/P6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SUMIFS('[7]TABLO-1'!P4:P32873,'[7]TABLO-1'!H4:H32873,"=Dağıtım-AG",'[7]TABLO-1'!J4:J32873,"=Güvenlik",'[7]TABLO-1'!K4:K32873,"=Bildirimli",'[7]TABLO-1'!I4:I32873,"=Uzun",'[7]TABLO-1'!D4:D32873,"=HAVSA")/P12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SUMIFS('[7]TABLO-1'!Q4:Q32873,'[7]TABLO-1'!H4:H32873,"=Dağıtım-AG",'[7]TABLO-1'!J4:J32873,"=Güvenlik",'[7]TABLO-1'!K4:K32873,"=Bildirimli",'[7]TABLO-1'!I4:I32873,"=Uzun",'[7]TABLO-1'!D4:D32873,"=HAVSA")/P7</f>
        <v>0</v>
      </c>
      <c r="H50" s="10">
        <f>SUMIFS('[7]TABLO-1'!R4:R32873,'[7]TABLO-1'!H4:H32873,"=Dağıtım-AG",'[7]TABLO-1'!J4:J32873,"=Güvenlik",'[7]TABLO-1'!K4:K32873,"=Bildirimli",'[7]TABLO-1'!I4:I32873,"=Uzun",'[7]TABLO-1'!D4:D32873,"=HAVSA")/P13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SUMIFS('[7]TABLO-1'!S4:S32873,'[7]TABLO-1'!H4:H32873,"=Dağıtım-AG",'[7]TABLO-1'!J4:J32873,"=Güvenlik",'[7]TABLO-1'!K4:K32873,"=Bildirimli",'[7]TABLO-1'!I4:I32873,"=Uzun",'[7]TABLO-1'!D4:D32873,"=HAVSA")/P8</f>
        <v>0</v>
      </c>
      <c r="K50" s="10">
        <f>SUMIFS('[7]TABLO-1'!T4:T32873,'[7]TABLO-1'!H4:H32873,"=Dağıtım-AG",'[7]TABLO-1'!J4:J32873,"=Güvenlik",'[7]TABLO-1'!K4:K32873,"=bildirimli",'[7]TABLO-1'!I4:I32873,"=Uzun",'[7]TABLO-1'!D4:D32873,"=HAVSA")/P14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1.366867140513942E-4</v>
      </c>
      <c r="I51" s="10">
        <f t="shared" si="19"/>
        <v>1.3487995683841381E-4</v>
      </c>
      <c r="J51" s="10">
        <f t="shared" si="19"/>
        <v>7.7586206896551727E-2</v>
      </c>
      <c r="K51" s="10">
        <f t="shared" si="19"/>
        <v>0.10797364528707812</v>
      </c>
      <c r="L51" s="10">
        <f t="shared" si="19"/>
        <v>0.10750695088044486</v>
      </c>
      <c r="M51" s="10">
        <f t="shared" si="19"/>
        <v>5.431950290639407E-2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SUMIFS('[7]TABLO-1'!O1:O32873,'[7]TABLO-1'!H1:H32873,"=İletim",'[7]TABLO-1'!K1:K32873,"=Bildirimsiz",'[7]TABLO-1'!I1:I32873,"=Kısa",'[7]TABLO-1'!D1:D32873,"=HAVSA")/P6</f>
        <v>#DIV/0!</v>
      </c>
      <c r="D56" s="10" t="e">
        <f>SUMIFS('[7]TABLO-1'!P1:P32873,'[7]TABLO-1'!H1:H32873,"=İletim",'[7]TABLO-1'!K1:K32873,"=Bildirimsiz",'[7]TABLO-1'!I1:I32873,"=Kısa",'[7]TABLO-1'!D1:D32873,"=HAVSA")/P12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SUMIFS('[7]TABLO-1'!Q1:Q32873,'[7]TABLO-1'!H1:H32873,"=İletim",'[7]TABLO-1'!K1:K32873,"=Bildirimsiz",'[7]TABLO-1'!I1:I32873,"=Kısa",'[7]TABLO-1'!D1:D32873,"=HAVSA")/P7</f>
        <v>0</v>
      </c>
      <c r="G56" s="10">
        <f>SUMIFS('[7]TABLO-1'!R1:R32873,'[7]TABLO-1'!H1:H32873,"=İletim",'[7]TABLO-1'!K1:K32873,"=Bildirimsiz",'[7]TABLO-1'!I1:I32873,"=Kısa",'[7]TABLO-1'!D1:D32873,"=HAVSA")/P13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SUMIFS('[7]TABLO-1'!S1:S32873,'[7]TABLO-1'!H1:H32873,"=İletim",'[7]TABLO-1'!K1:K32873,"=Bildirimsiz",'[7]TABLO-1'!I1:I32873,"=Kısa",'[7]TABLO-1'!D1:D32873,"=HAVSA")/P8</f>
        <v>0</v>
      </c>
      <c r="J56" s="10">
        <f>SUMIFS('[7]TABLO-1'!T1:T32873,'[7]TABLO-1'!H1:H32873,"=İletim",'[7]TABLO-1'!K1:K32873,"=Bildirimsiz",'[7]TABLO-1'!I1:I32873,"=Kısa",'[7]TABLO-1'!D1:D32873,"=HAVSA")/P14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SUMIFS('[7]TABLO-1'!O4:O32873,'[7]TABLO-1'!H4:H32873,"=Dağıtım-OG",'[7]TABLO-1'!K4:K32873,"=Bildirimsiz",'[7]TABLO-1'!I4:I32873,"=Kısa",'[7]TABLO-1'!D4:D32873,"=HAVSA")/P6</f>
        <v>#DIV/0!</v>
      </c>
      <c r="D57" s="10" t="e">
        <f>SUMIFS('[7]TABLO-1'!P4:P32873,'[7]TABLO-1'!H4:H32873,"=Dağıtım-OG",'[7]TABLO-1'!K4:K32873,"=Bildirimsiz",'[7]TABLO-1'!I4:I32873,"=Kısa",'[7]TABLO-1'!D4:D32873,"=HAVSA")/P12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SUMIFS('[7]TABLO-1'!Q4:Q32873,'[7]TABLO-1'!H4:H32873,"=Dağıtım-OG",'[7]TABLO-1'!K4:K32873,"=Bildirimsiz",'[7]TABLO-1'!I4:I32873,"=Kısa",'[7]TABLO-1'!D4:D32873,"=HAVSA")/P7</f>
        <v>9.1836734693877556E-2</v>
      </c>
      <c r="G57" s="10">
        <f>SUMIFS('[7]TABLO-1'!R4:R32873,'[7]TABLO-1'!H4:H32873,"=Dağıtım-OG",'[7]TABLO-1'!K4:K32873,"=Bildirimsiz",'[7]TABLO-1'!I4:I32873,"=Kısa",'[7]TABLO-1'!D4:D32873,"=HAVSA")/P13</f>
        <v>8.2012028430836518E-4</v>
      </c>
      <c r="H57" s="10">
        <f>IFERROR((((F57*$P$7)+(G57*$P$13))/$P$20),"0,00")</f>
        <v>2.0231993525762072E-3</v>
      </c>
      <c r="I57" s="10">
        <f>SUMIFS('[7]TABLO-1'!S4:S32873,'[7]TABLO-1'!H4:H32873,"=Dağıtım-OG",'[7]TABLO-1'!K4:K32873,"=Bildirimsiz",'[7]TABLO-1'!I4:I32873,"=Kısa",'[7]TABLO-1'!D4:D32873,"=HAVSA")/P8</f>
        <v>0.31034482758620691</v>
      </c>
      <c r="J57" s="10">
        <f>SUMIFS('[7]TABLO-1'!T4:T32873,'[7]TABLO-1'!H4:H32873,"=Dağıtım-OG",'[7]TABLO-1'!K4:K32873,"=Bildirimsiz",'[7]TABLO-1'!I4:I32873,"=Kısa",'[7]TABLO-1'!D4:D32873,"=HAVSA")/P14</f>
        <v>0.22643539061449508</v>
      </c>
      <c r="K57" s="10">
        <f>IFERROR((((I57*$P$8)+(J57*$P$14))/$P$23),"0,00")</f>
        <v>0.22772408314576989</v>
      </c>
      <c r="L57" s="11">
        <f>IFERROR((((E57*$P$17)+(H57*$P$20)+(K57*$P$23))/$P$26),"0,00")</f>
        <v>0.1159216943943342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SUMIFS('[7]TABLO-1'!O4:O32873,'[7]TABLO-1'!H4:H32873,"=Dağıtım-AG",'[7]TABLO-1'!K4:K32873,"=Bildirimsiz",'[7]TABLO-1'!I4:I32873,"=Kısa",'[7]TABLO-1'!D4:D32873,"=HAVSA")/P6</f>
        <v>#DIV/0!</v>
      </c>
      <c r="D58" s="10" t="e">
        <f>SUMIFS('[7]TABLO-1'!P4:P32873,'[7]TABLO-1'!H4:H32873,"=Dağıtım-AG",'[7]TABLO-1'!K4:K32873,"=Bildirimsiz",'[7]TABLO-1'!I4:I32873,"=Kısa",'[7]TABLO-1'!D4:D32873,"=HAVSA")/P12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SUMIFS('[7]TABLO-1'!Q4:Q32873,'[7]TABLO-1'!H4:H32873,"=Dağıtım-AG",'[7]TABLO-1'!K4:K32873,"=Bildirimsiz",'[7]TABLO-1'!I4:I32873,"=Kısa",'[7]TABLO-1'!D4:D32873,"=HAVSA")/P7</f>
        <v>0</v>
      </c>
      <c r="G58" s="10">
        <f>SUMIFS('[7]TABLO-1'!R4:R32873,'[7]TABLO-1'!H4:H32873,"=Dağıtım-AG",'[7]TABLO-1'!K4:K32873,"=Bildirimsiz",'[7]TABLO-1'!I4:I32873,"=Kısa",'[7]TABLO-1'!D4:D32873,"=HAVSA")/P13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SUMIFS('[7]TABLO-1'!S4:S32873,'[7]TABLO-1'!H4:H32873,"=Dağıtım-AG",'[7]TABLO-1'!K4:K32873,"=Bildirimsiz",'[7]TABLO-1'!I4:I32873,"=Kısa",'[7]TABLO-1'!D4:D32873,"=HAVSA")/P8</f>
        <v>0</v>
      </c>
      <c r="J58" s="10">
        <f>SUMIFS('[7]TABLO-1'!T4:T32873,'[7]TABLO-1'!H4:H32873,"=Dağıtım-AG",'[7]TABLO-1'!K4:K32873,"=Bildirimsiz",'[7]TABLO-1'!I4:I32873,"=Kısa",'[7]TABLO-1'!D4:D32873,"=HAVSA")/P14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9.1836734693877556E-2</v>
      </c>
      <c r="G59" s="10">
        <f t="shared" si="20"/>
        <v>8.2012028430836518E-4</v>
      </c>
      <c r="H59" s="10">
        <f t="shared" si="20"/>
        <v>2.0231993525762072E-3</v>
      </c>
      <c r="I59" s="10">
        <f t="shared" si="20"/>
        <v>0.31034482758620691</v>
      </c>
      <c r="J59" s="10">
        <f t="shared" si="20"/>
        <v>0.22643539061449508</v>
      </c>
      <c r="K59" s="10">
        <f t="shared" si="20"/>
        <v>0.22772408314576989</v>
      </c>
      <c r="L59" s="10">
        <f t="shared" si="20"/>
        <v>0.1159216943943342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98</v>
      </c>
      <c r="G65" s="27">
        <f>P13</f>
        <v>7316</v>
      </c>
      <c r="H65" s="17">
        <f>SUM(F65:G65)</f>
        <v>7414</v>
      </c>
      <c r="I65" s="17">
        <f>P8</f>
        <v>116</v>
      </c>
      <c r="J65" s="27">
        <f>P14</f>
        <v>7437</v>
      </c>
      <c r="K65" s="17">
        <f>SUM(I65:J65)</f>
        <v>7553</v>
      </c>
      <c r="L65" s="17">
        <f>H65+E65+K65</f>
        <v>14967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Q71"/>
  <sheetViews>
    <sheetView zoomScale="70" zoomScaleNormal="70" workbookViewId="0">
      <selection activeCell="N24" sqref="N2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İşletmecisi",'[7]TABLO-1'!K4:K32873,"=Bildirimsiz",'[7]TABLO-1'!I4:I32873,"=Uzun",'[7]TABLO-1'!D4:D32873,"=SÜLOĞLU")/P6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İşletmecisi",'[7]TABLO-1'!K4:K32873,"=Bildirimsiz",'[7]TABLO-1'!I4:I32873,"=Uzun",'[7]TABLO-1'!D4:D32873,"=SÜLOĞLU")/P12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İşletmecisi",'[7]TABLO-1'!K4:K32873,"=Bildirimsiz",'[7]TABLO-1'!I4:I32873,"=Uzun",'[7]TABLO-1'!D4:D32873,"=SÜLOĞLU")/P7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İşletmecisi",'[7]TABLO-1'!K4:K32873,"=Bildirimsiz",'[7]TABLO-1'!I4:I32873,"=Uzun",'[7]TABLO-1'!D4:D32873,"=SÜLOĞLU")/P13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İşletmecisi",'[7]TABLO-1'!K4:K32873,"=Bildirimsiz",'[7]TABLO-1'!I4:I32873,"=Uzun",'[7]TABLO-1'!D4:D32873,"=SÜLOĞLU")/P8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İşletmecisi",'[7]TABLO-1'!K4:K32873,"=Bildirimsiz",'[7]TABLO-1'!I4:I32873,"=Uzun",'[7]TABLO-1'!D4:D32873,"=SÜLOĞLU")/P14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Sebep",'[7]TABLO-1'!K4:K32873,"=Bildirimsiz",'[7]TABLO-1'!I4:I32873,"=Uzun",'[7]TABLO-1'!D4:D32873,"=SÜLOĞLU")/P6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Sebep",'[7]TABLO-1'!K4:K32873,"=Bildirimsiz",'[7]TABLO-1'!I4:I32873,"=Uzun",'[7]TABLO-1'!D4:D32873,"=SÜLOĞLU")/P12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Sebep",'[7]TABLO-1'!K4:K32873,"=Bildirimsiz",'[7]TABLO-1'!I4:I32873,"=Uzun",'[7]TABLO-1'!D4:D32873,"=SÜLOĞLU")/P7</f>
        <v>0</v>
      </c>
      <c r="H7" s="10">
        <f>SUMIFS('[7]TABLO-1'!X4:X32873,'[7]TABLO-1'!H4:H32873,"=İletim",'[7]TABLO-1'!J4:J32873,"=Mücbir Sebep",'[7]TABLO-1'!K4:K32873,"=Bildirimsiz",'[7]TABLO-1'!I4:I32873,"=Uzun",'[7]TABLO-1'!D4:D32873,"=SÜLOĞLU")/P13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Sebep",'[7]TABLO-1'!K4:K32873,"=Bildirimsiz",'[7]TABLO-1'!I4:I32873,"=Uzun",'[7]TABLO-1'!D4:D32873,"=SÜLOĞLU")/P8</f>
        <v>0</v>
      </c>
      <c r="K7" s="10">
        <f>SUMIFS('[7]TABLO-1'!Z4:Z32873,'[7]TABLO-1'!H4:H32873,"=İletim",'[7]TABLO-1'!J4:J32873,"=Mücbir Sebep",'[7]TABLO-1'!K4:K32873,"=Bildirimsiz",'[7]TABLO-1'!I4:I32873,"=Uzun",'[7]TABLO-1'!D4:D32873,"=SÜLOĞLU")/P14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11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İşletmecisi",'[7]TABLO-1'!K4:K32873,"=Bildirimsiz",'[7]TABLO-1'!I4:I32873,"=Uzun",'[7]TABLO-1'!D4:D32873,"=SÜLOĞLU")/P6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İşletmecisi",'[7]TABLO-1'!K4:K32873,"=Bildirimsiz",'[7]TABLO-1'!I4:I32873,"=Uzun",'[7]TABLO-1'!D4:D32873,"=SÜLOĞLU")/P12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İşletmecisi",'[7]TABLO-1'!K4:K32873,"=Bildirimsiz",'[7]TABLO-1'!I4:I32873,"=Uzun",'[7]TABLO-1'!D4:D32873,"=SÜLOĞLU")/P7</f>
        <v>9.7772727268536315</v>
      </c>
      <c r="H8" s="10">
        <f>SUMIFS('[7]TABLO-1'!X4:X32873,'[7]TABLO-1'!H4:H32873,"=Dağıtım-OG",'[7]TABLO-1'!J4:J32873,"=Şebeke İşletmecisi",'[7]TABLO-1'!K4:K32873,"=Bildirimsiz",'[7]TABLO-1'!I4:I32873,"=Uzun",'[7]TABLO-1'!D4:D32873,"=SÜLOĞLU")/P13</f>
        <v>0</v>
      </c>
      <c r="I8" s="10">
        <f t="shared" si="1"/>
        <v>5.1731601729384298E-2</v>
      </c>
      <c r="J8" s="10">
        <f>SUMIFS('[7]TABLO-1'!Y4:Y32873,'[7]TABLO-1'!H4:H32873,"=Dağıtım-OG",'[7]TABLO-1'!J4:J32873,"=Şebeke İşletmecisi",'[7]TABLO-1'!K4:K32873,"=Bildirimsiz",'[7]TABLO-1'!I4:I32873,"=Uzun",'[7]TABLO-1'!D4:D32873,"=SÜLOĞLU")/P8</f>
        <v>63.41805555348401</v>
      </c>
      <c r="K8" s="10">
        <f>SUMIFS('[7]TABLO-1'!Z4:Z32873,'[7]TABLO-1'!H4:H32873,"=Dağıtım-OG",'[7]TABLO-1'!J4:J32873,"=Şebeke İşletmecisi",'[7]TABLO-1'!K4:K32873,"=Bildirimsiz",'[7]TABLO-1'!I4:I32873,"=Uzun",'[7]TABLO-1'!D4:D32873,"=SÜLOĞLU")/P14</f>
        <v>42.377726402897402</v>
      </c>
      <c r="L8" s="10">
        <f t="shared" si="2"/>
        <v>42.597755988785885</v>
      </c>
      <c r="M8" s="11">
        <f t="shared" si="3"/>
        <v>22.375262915925699</v>
      </c>
      <c r="O8" s="20" t="s">
        <v>36</v>
      </c>
      <c r="P8" s="53">
        <v>24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SUMIFS('[7]TABLO-1'!U4:U32873,'[7]TABLO-1'!H4:H32873,"=Dağıtım-OG",'[7]TABLO-1'!J4:J32873,"=Dışsal",'[7]TABLO-1'!K4:K32873,"=Bildirimsiz",'[7]TABLO-1'!I4:I32873,"=Uzun",'[7]TABLO-1'!D4:D32873,"=SÜLOĞLU")/P6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SUMIFS('[7]TABLO-1'!V4:V32873,'[7]TABLO-1'!H4:H32873,"=Dağıtım-OG",'[7]TABLO-1'!J4:J32873,"=Dışsal",'[7]TABLO-1'!K4:K32873,"=Bildirimsiz",'[7]TABLO-1'!I4:I32873,"=Uzun",'[7]TABLO-1'!D4:D32873,"=SÜLOĞLU")/P12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SUMIFS('[7]TABLO-1'!W4:W32873,'[7]TABLO-1'!H4:H32873,"=Dağıtım-OG",'[7]TABLO-1'!J4:J32873,"=Dışsal",'[7]TABLO-1'!K4:K32873,"=Bildirimsiz",'[7]TABLO-1'!I4:I32873,"=Uzun",'[7]TABLO-1'!D4:D32873,"=SÜLOĞLU")/P7</f>
        <v>0</v>
      </c>
      <c r="H9" s="10">
        <f>SUMIFS('[7]TABLO-1'!X4:X32873,'[7]TABLO-1'!H4:H32873,"=Dağıtım-OG",'[7]TABLO-1'!J4:J32873,"=Dışsal",'[7]TABLO-1'!K4:K32873,"=Bildirimsiz",'[7]TABLO-1'!I4:I32873,"=Uzun",'[7]TABLO-1'!D4:D32873,"=SÜLOĞLU")/P13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SUMIFS('[7]TABLO-1'!Y4:Y32873,'[7]TABLO-1'!H4:H32873,"=Dağıtım-OG",'[7]TABLO-1'!J4:J32873,"=Dışsal",'[7]TABLO-1'!K4:K32873,"=Bildirimsiz",'[7]TABLO-1'!I4:I32873,"=Uzun",'[7]TABLO-1'!D4:D32873,"=SÜLOĞLU")/P8</f>
        <v>0</v>
      </c>
      <c r="K9" s="10">
        <f>SUMIFS('[7]TABLO-1'!Z4:Z32873,'[7]TABLO-1'!H4:H32873,"=Dağıtım-OG",'[7]TABLO-1'!J4:J32873,"=Dışsal",'[7]TABLO-1'!K4:K32873,"=Bildirimsiz",'[7]TABLO-1'!I4:I32873,"=Uzun",'[7]TABLO-1'!D4:D32873,"=SÜLOĞLU")/P14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35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Sebep",'[7]TABLO-1'!K4:K32873,"=Bildirimsiz",'[7]TABLO-1'!I4:I32873,"=Uzun",'[7]TABLO-1'!D4:D32873,"=SÜLOĞLU")/P6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Sebep",'[7]TABLO-1'!K4:K32873,"=Bildirimsiz",'[7]TABLO-1'!I4:I32873,"=Uzun",'[7]TABLO-1'!D4:D32873,"=SÜLOĞLU")/P12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Sebep",'[7]TABLO-1'!K4:K32873,"=Bildirimsiz",'[7]TABLO-1'!I4:I32873,"=Uzun",'[7]TABLO-1'!D4:D32873,"=SÜLOĞLU")/P7</f>
        <v>0</v>
      </c>
      <c r="H10" s="10">
        <f>SUMIFS('[7]TABLO-1'!X4:X32873,'[7]TABLO-1'!H4:H32873,"=Dağıtım-OG",'[7]TABLO-1'!J4:J32873,"=Mücbir Sebep",'[7]TABLO-1'!K4:K32873,"=Bildirimsiz",'[7]TABLO-1'!I4:I32873,"=Uzun",'[7]TABLO-1'!D4:D32873,"=SÜLOĞLU")/P13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Sebep",'[7]TABLO-1'!K4:K32873,"=Bildirimsiz",'[7]TABLO-1'!I4:I32873,"=Uzun",'[7]TABLO-1'!D4:D32873,"=SÜLOĞLU")/P8</f>
        <v>0</v>
      </c>
      <c r="K10" s="10">
        <f>SUMIFS('[7]TABLO-1'!Z4:Z32873,'[7]TABLO-1'!H4:H32873,"=Dağıtım-OG",'[7]TABLO-1'!J4:J32873,"=Mücbir Sebep",'[7]TABLO-1'!K4:K32873,"=Bildirimsiz",'[7]TABLO-1'!I4:I32873,"=Uzun",'[7]TABLO-1'!D4:D32873,"=SÜLOĞLU")/P14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SUMIFS('[7]TABLO-1'!U4:U32873,'[7]TABLO-1'!H4:H32873,"=Dağıtım-OG",'[7]TABLO-1'!J4:J32873,"=Güvenlik",'[7]TABLO-1'!K4:K32873,"=Bildirimsiz",'[7]TABLO-1'!I4:I32873,"=Uzun",'[7]TABLO-1'!D4:D32873,"=SÜLOĞLU")/P6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SUMIFS('[7]TABLO-1'!V4:V32873,'[7]TABLO-1'!H4:H32873,"=Dağıtım-OG",'[7]TABLO-1'!J4:J32873,"=Güvenlik",'[7]TABLO-1'!K4:K32873,"=Bildirimsiz",'[7]TABLO-1'!I4:I32873,"=Uzun",'[7]TABLO-1'!D4:D32873,"=SÜLOĞLU")/P12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SUMIFS('[7]TABLO-1'!W4:W32873,'[7]TABLO-1'!H4:H32873,"=Dağıtım-OG",'[7]TABLO-1'!J4:J32873,"=Güvenlik",'[7]TABLO-1'!K4:K32873,"=Bildirimsiz",'[7]TABLO-1'!I4:I32873,"=Uzun",'[7]TABLO-1'!D4:D32873,"=SÜLOĞLU")/P7</f>
        <v>0</v>
      </c>
      <c r="H11" s="10">
        <f>SUMIFS('[7]TABLO-1'!X4:X32873,'[7]TABLO-1'!H4:H32873,"=Dağıtım-OG",'[7]TABLO-1'!J4:J32873,"=Güvenlik",'[7]TABLO-1'!K4:K32873,"=Bildirimsiz",'[7]TABLO-1'!I4:I32873,"=Uzun",'[7]TABLO-1'!D4:D32873,"=SÜLOĞLU")/P13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SUMIFS('[7]TABLO-1'!Y4:Y32873,'[7]TABLO-1'!H4:H32873,"=Dağıtım-OG",'[7]TABLO-1'!J4:J32873,"=Güvenlik",'[7]TABLO-1'!K4:K32873,"=Bildirimsiz",'[7]TABLO-1'!I4:I32873,"=Uzun",'[7]TABLO-1'!D4:D32873,"=SÜLOĞLU")/P8</f>
        <v>0</v>
      </c>
      <c r="K11" s="10">
        <f>SUMIFS('[7]TABLO-1'!Z4:Z32873,'[7]TABLO-1'!H4:H32873,"=Dağıtım-OG",'[7]TABLO-1'!J4:J32873,"=Güvenlik",'[7]TABLO-1'!K4:K32873,"=Bildirimsiz",'[7]TABLO-1'!I4:I32873,"=Uzun",'[7]TABLO-1'!D4:D32873,"=SÜLOĞLU")/P14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İşletmecisi",'[7]TABLO-1'!K4:K32873,"=Bildirimsiz",'[7]TABLO-1'!I4:I32873,"=Uzun",'[7]TABLO-1'!D4:D32873,"=SÜLOĞLU")/P6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işletmecisi",'[7]TABLO-1'!K4:K32873,"=Bildirimsiz",'[7]TABLO-1'!I4:I32873,"=Uzun",'[7]TABLO-1'!D4:D32873,"=SÜLOĞLU")/P12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İşletmecisi",'[7]TABLO-1'!K4:K32873,"=Bildirimsiz",'[7]TABLO-1'!I4:I32873,"=Uzun",'[7]TABLO-1'!D4:D32873,"=SÜLOĞLU")/P7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İşletmecisi",'[7]TABLO-1'!K4:K32873,"=Bildirimsiz",'[7]TABLO-1'!I4:I32873,"=Uzun",'[7]TABLO-1'!D4:D32873,"=SÜLOĞLU")/P13</f>
        <v>0</v>
      </c>
      <c r="I12" s="10">
        <f t="shared" si="1"/>
        <v>0</v>
      </c>
      <c r="J12" s="12">
        <f>SUMIFS('[7]TABLO-1'!Y4:Y32873,'[7]TABLO-1'!H4:H32873,"=Dağıtım-AG",'[7]TABLO-1'!J4:J32873,"=Şebeke İşletmecisi",'[7]TABLO-1'!K4:K32873,"=Bildirimsiz",'[7]TABLO-1'!I4:I32873,"=Uzun",'[7]TABLO-1'!D4:D32873,"=SÜLOĞLU")/P8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İşletmecisi",'[7]TABLO-1'!K4:K32873,"=Bildirimsiz",'[7]TABLO-1'!I4:I32873,"=Uzun",'[7]TABLO-1'!D4:D32873,"=SÜLOĞLU")/P14</f>
        <v>3.8729634523546124</v>
      </c>
      <c r="L12" s="10">
        <f t="shared" si="2"/>
        <v>3.8324618737678975</v>
      </c>
      <c r="M12" s="11">
        <f t="shared" si="3"/>
        <v>2.0108596251251316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SUMIFS('[7]TABLO-1'!U4:U32873,'[7]TABLO-1'!H4:H32873,"=Dağıtım-AG",'[7]TABLO-1'!J4:J32873,"=Dışsal",'[7]TABLO-1'!K4:K32873,"=Bildirimsiz",'[7]TABLO-1'!I4:I32873,"=Uzun",'[7]TABLO-1'!D4:D32873,"=SÜLOĞLU")/P6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SUMIFS('[7]TABLO-1'!V4:V32873,'[7]TABLO-1'!H4:H32873,"=Dağıtım-AG",'[7]TABLO-1'!J4:J32873,"=Dışsal",'[7]TABLO-1'!K4:K32873,"=Bildirimsiz",'[7]TABLO-1'!I4:I32873,"=Uzun",'[7]TABLO-1'!D4:D32873,"=SÜLOĞLU")/P12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SUMIFS('[7]TABLO-1'!W4:W32873,'[7]TABLO-1'!H4:H32873,"=Dağıtım-AG",'[7]TABLO-1'!J4:J32873,"=Dışsal",'[7]TABLO-1'!K4:K32873,"=Bildirimsiz",'[7]TABLO-1'!I4:I32873,"=Uzun",'[7]TABLO-1'!D4:D32873,"=SÜLOĞLU")/P7</f>
        <v>0</v>
      </c>
      <c r="H13" s="10">
        <f>SUMIFS('[7]TABLO-1'!X4:X32873,'[7]TABLO-1'!H4:H32873,"=Dağıtım-AG",'[7]TABLO-1'!J4:J32873,"=Dışsal",'[7]TABLO-1'!K4:K32873,"=Bildirimsiz",'[7]TABLO-1'!I4:I32873,"=Uzun",'[7]TABLO-1'!D4:D32873,"=SÜLOĞLU")/P13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SUMIFS('[7]TABLO-1'!Y4:Y32873,'[7]TABLO-1'!H4:H32873,"=Dağıtım-AG",'[7]TABLO-1'!J4:J32873,"=Dışsal",'[7]TABLO-1'!K4:K32873,"=Bildirimsiz",'[7]TABLO-1'!I4:I32873,"=Uzun",'[7]TABLO-1'!D4:D32873,"=SÜLOĞLU")/P8</f>
        <v>0</v>
      </c>
      <c r="K13" s="10">
        <f>SUMIFS('[7]TABLO-1'!Z4:Z32873,'[7]TABLO-1'!H4:H32873,"=Dağıtım-AG",'[7]TABLO-1'!J4:J32873,"=Dışsal",'[7]TABLO-1'!K4:K32873,"=Bildirimsiz",'[7]TABLO-1'!I4:I32873,"=Uzun",'[7]TABLO-1'!D4:D32873,"=SÜLOĞLU")/P14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2068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Sebep",'[7]TABLO-1'!K4:K32873,"=Bildirimsiz",'[7]TABLO-1'!I4:I32873,"=Uzun",'[7]TABLO-1'!D4:D32873,"=SÜLOĞLU")/P6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Sebep",'[7]TABLO-1'!K4:K32873,"=Bildirimsiz",'[7]TABLO-1'!I4:I32873,"=Uzun",'[7]TABLO-1'!D4:D32873,"=SÜLOĞLU")/P12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Sebep",'[7]TABLO-1'!K4:K32873,"=Bildirimsiz",'[7]TABLO-1'!I4:I32873,"=Uzun",'[7]TABLO-1'!D4:D32873,"=SÜLOĞLU")/P7</f>
        <v>0</v>
      </c>
      <c r="H14" s="10">
        <f>SUMIFS('[7]TABLO-1'!X4:X32873,'[7]TABLO-1'!H4:H32873,"=Dağıtım-AG",'[7]TABLO-1'!J4:J32873,"=Mücbir Sebep",'[7]TABLO-1'!K4:K32873,"=Bildirimsiz",'[7]TABLO-1'!I4:I32873,"=Uzun",'[7]TABLO-1'!D4:D32873,"=SÜLOĞLU")/P13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Sebep",'[7]TABLO-1'!K4:K32873,"=Bildirimsiz",'[7]TABLO-1'!I4:I32873,"=Uzun",'[7]TABLO-1'!D4:D32873,"=SÜLOĞLU")/P8</f>
        <v>0</v>
      </c>
      <c r="K14" s="10">
        <f>SUMIFS('[7]TABLO-1'!Z4:Z32873,'[7]TABLO-1'!H4:H32873,"=Dağıtım-AG",'[7]TABLO-1'!J4:J32873,"=Mücbir Sebep",'[7]TABLO-1'!K4:K32873,"=Bildirimsiz",'[7]TABLO-1'!I4:I32873,"=Uzun",'[7]TABLO-1'!D4:D32873,"=SÜLOĞLU")/P14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2271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SUMIFS('[7]TABLO-1'!U4:U32873,'[7]TABLO-1'!H4:H32873,"=Dağıtım-AG",'[7]TABLO-1'!J4:J32873,"=Güvenlik",'[7]TABLO-1'!K4:K32873,"=Bildirimsiz",'[7]TABLO-1'!I4:I32873,"=Uzun",'[7]TABLO-1'!D4:D32873,"=SÜLOĞLU")/P6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SUMIFS('[7]TABLO-1'!V4:V32873,'[7]TABLO-1'!H4:H32873,"=Dağıtım-AG",'[7]TABLO-1'!J4:J32873,"=Güvenlik",'[7]TABLO-1'!K4:K32873,"=Bildirimsiz",'[7]TABLO-1'!I4:I32873,"=Uzun",'[7]TABLO-1'!D4:D32873,"=SÜLOĞLU")/P12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SUMIFS('[7]TABLO-1'!W4:W32873,'[7]TABLO-1'!H4:H32873,"=Dağıtım-AG",'[7]TABLO-1'!J4:J32873,"=Güvenlik",'[7]TABLO-1'!K4:K32873,"=Bildirimsiz",'[7]TABLO-1'!I4:I32873,"=Uzun",'[7]TABLO-1'!D4:D32873,"=SÜLOĞLU")/P7</f>
        <v>0</v>
      </c>
      <c r="H15" s="10">
        <f>SUMIFS('[7]TABLO-1'!X4:X32873,'[7]TABLO-1'!H4:H32873,"=Dağıtım-AG",'[7]TABLO-1'!J4:J32873,"=Güvenlik",'[7]TABLO-1'!K4:K32873,"=Bildirimsiz",'[7]TABLO-1'!I4:I32873,"=Uzun",'[7]TABLO-1'!D4:D32873,"=SÜLOĞLU")/P13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SUMIFS('[7]TABLO-1'!Y4:Y32873,'[7]TABLO-1'!H4:H32873,"=Dağıtım-AG",'[7]TABLO-1'!J4:J32873,"=Güvenlik",'[7]TABLO-1'!K4:K32873,"=Bildirimsiz",'[7]TABLO-1'!I4:I32873,"=Uzun",'[7]TABLO-1'!D4:D32873,"=SÜLOĞLU")/P8</f>
        <v>0</v>
      </c>
      <c r="K15" s="10">
        <f>SUMIFS('[7]TABLO-1'!Z4:Z32873,'[7]TABLO-1'!H4:H32873,"=Dağıtım-AG",'[7]TABLO-1'!J4:J32873,"=Güvenlik",'[7]TABLO-1'!K4:K32873,"=Bildirimsiz",'[7]TABLO-1'!I4:I32873,"=Uzun",'[7]TABLO-1'!D4:D32873,"=SÜLOĞLU")/P14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4339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9.7772727268536315</v>
      </c>
      <c r="H16" s="10">
        <f t="shared" si="4"/>
        <v>0</v>
      </c>
      <c r="I16" s="10">
        <f t="shared" si="4"/>
        <v>5.1731601729384298E-2</v>
      </c>
      <c r="J16" s="10">
        <f>SUM(J6:J15)</f>
        <v>63.41805555348401</v>
      </c>
      <c r="K16" s="10">
        <f>SUM(K6:K15)</f>
        <v>46.250689855252013</v>
      </c>
      <c r="L16" s="10">
        <f>SUM(L6:L15)</f>
        <v>46.430217862553782</v>
      </c>
      <c r="M16" s="11">
        <f t="shared" si="4"/>
        <v>24.386122541050831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2079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İşletmecisi",'[7]TABLO-1'!K4:K32873,"=Bildirimli",'[7]TABLO-1'!I4:I32873,"=Uzun",'[7]TABLO-1'!D4:D32873,"=SÜLOĞLU")/P6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İşletmecisi",'[7]TABLO-1'!K4:K32873,"=Bildirimli",'[7]TABLO-1'!I4:I32873,"=Uzun",'[7]TABLO-1'!D4:D32873,"=SÜLOĞLU")/P12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İşletmecisi",'[7]TABLO-1'!K4:K32873,"=Bildirimli",'[7]TABLO-1'!I4:I32873,"=Uzun",'[7]TABLO-1'!D4:D32873,"=SÜLOĞLU")/P7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İşletmecisi",'[7]TABLO-1'!K4:K32873,"=Bildirimli",'[7]TABLO-1'!I4:I32873,"=Uzun",'[7]TABLO-1'!D4:D32873,"=SÜLOĞLU")/P13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İşletmecisi",'[7]TABLO-1'!K4:K32873,"=Bildirimli",'[7]TABLO-1'!I4:I32873,"=Uzun",'[7]TABLO-1'!D4:D32873,"=SÜLOĞLU")/P8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İşletmecisi",'[7]TABLO-1'!K4:K32873,"=Bildirimli",'[7]TABLO-1'!I4:I32873,"=Uzun",'[7]TABLO-1'!D4:D32873,"=SÜLOĞLU")/P14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İşletmecisi",'[7]TABLO-1'!K4:K32873,"=Bildirimli",'[7]TABLO-1'!I4:I32873,"=Uzun",'[7]TABLO-1'!D4:D32873,"=SÜLOĞLU")/P6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İşletmecisi",'[7]TABLO-1'!K4:K32873,"=Bildirimli",'[7]TABLO-1'!I4:I32873,"=Uzun",'[7]TABLO-1'!D4:D32873,"=SÜLOĞLU")/P12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İşletmecisi",'[7]TABLO-1'!K4:K32873,"=Bildirimli",'[7]TABLO-1'!I4:I32873,"=Uzun",'[7]TABLO-1'!D4:D32873,"=SÜLOĞLU")/P7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İşletmecisi",'[7]TABLO-1'!K4:K32873,"=Bildirimli",'[7]TABLO-1'!I4:I32873,"=Uzun",'[7]TABLO-1'!D4:D32873,"=SÜLOĞLU")/P13</f>
        <v>0</v>
      </c>
      <c r="I22" s="10">
        <f t="shared" ref="I22:I25" si="6">IFERROR((((G22*$P$7)+(H22*$P$13))/$P$20),"0,00")</f>
        <v>0</v>
      </c>
      <c r="J22" s="10">
        <f>SUMIFS('[7]TABLO-1'!Y4:Y32873,'[7]TABLO-1'!H4:H32873,"=Dağıtım-OG",'[7]TABLO-1'!J4:J32873,"=Şebeke İşletmecisi",'[7]TABLO-1'!K4:K32873,"=Bildirimli",'[7]TABLO-1'!I4:I32873,"=Uzun",'[7]TABLO-1'!D4:D32873,"=SÜLOĞLU")/P8</f>
        <v>0</v>
      </c>
      <c r="K22" s="10">
        <f>SUMIFS('[7]TABLO-1'!Z4:Z32873,'[7]TABLO-1'!H4:H32873,"=Dağıtım-OG",'[7]TABLO-1'!J4:J32873,"=Şebeke İşletmecisi",'[7]TABLO-1'!K4:K32873,"=Bildirimli",'[7]TABLO-1'!I4:I32873,"=Uzun",'[7]TABLO-1'!D4:D32873,"=SÜLOĞLU")/P14</f>
        <v>0</v>
      </c>
      <c r="L22" s="10">
        <f t="shared" ref="L22:L25" si="7">IFERROR((((J22*$P$8)+(K22*$P$14))/$P$23),"0,00")</f>
        <v>0</v>
      </c>
      <c r="M22" s="11">
        <f t="shared" ref="M22:M25" si="8">IFERROR((((F22*$P$17)+(I22*$P$20)+(L22*$P$23))/$P$26),"0,00")</f>
        <v>0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SUMIFS('[7]TABLO-1'!U4:U32873,'[7]TABLO-1'!H4:H32873,"=Dağıtım-OG",'[7]TABLO-1'!J4:J32873,"=Güvenlik",'[7]TABLO-1'!K4:K32873,"=Bildirimli",'[7]TABLO-1'!I4:I32873,"=Uzun",'[7]TABLO-1'!D4:D32873,"=SÜLOĞLU")/P6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SUMIFS('[7]TABLO-1'!V4:V32873,'[7]TABLO-1'!H4:H32873,"=Dağıtım-OG",'[7]TABLO-1'!J4:J32873,"=Güvenlik",'[7]TABLO-1'!K4:K32873,"=Bildirimli",'[7]TABLO-1'!I4:I32873,"=Uzun",'[7]TABLO-1'!D4:D32873,"=SÜLOĞLU")/P12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SUMIFS('[7]TABLO-1'!W4:W32873,'[7]TABLO-1'!H4:H32873,"=Dağıtım-OG",'[7]TABLO-1'!J4:J32873,"=Güvenlik",'[7]TABLO-1'!K4:K32873,"=Bildirimli",'[7]TABLO-1'!I4:I32873,"=Uzun",'[7]TABLO-1'!D4:D32873,"=SÜLOĞLU")/P7</f>
        <v>0</v>
      </c>
      <c r="H23" s="10">
        <f>SUMIFS('[7]TABLO-1'!X4:X32873,'[7]TABLO-1'!H4:H32873,"=Dağıtım-OG",'[7]TABLO-1'!J4:J32873,"=Güvenlik",'[7]TABLO-1'!K4:K32873,"=Bildirimli",'[7]TABLO-1'!I4:I32873,"=Uzun",'[7]TABLO-1'!D4:D32873,"=SÜLOĞLU")/P13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SUMIFS('[7]TABLO-1'!Y4:Y32873,'[7]TABLO-1'!H4:H32873,"=Dağıtım-OG",'[7]TABLO-1'!J4:J32873,"=Güvenlik",'[7]TABLO-1'!K4:K32873,"=Bildirimli",'[7]TABLO-1'!I4:I32873,"=Uzun",'[7]TABLO-1'!D4:D32873,"=SÜLOĞLU")/P8</f>
        <v>0</v>
      </c>
      <c r="K23" s="10">
        <f>SUMIFS('[7]TABLO-1'!Z4:Z32873,'[7]TABLO-1'!H4:H32873,"=Dağıtım-OG",'[7]TABLO-1'!J4:J32873,"=Güvenlik",'[7]TABLO-1'!K4:K32873,"=Bildirimli",'[7]TABLO-1'!I4:I32873,"=Uzun",'[7]TABLO-1'!D4:D32873,"=SÜLOĞLU")/P14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2295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İşletmecisi",'[7]TABLO-1'!K4:K32873,"=Bildirimli",'[7]TABLO-1'!I4:I32873,"=Uzun",'[7]TABLO-1'!D4:D32873,"=SÜLOĞLU")/P6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İşletmecisi",'[7]TABLO-1'!K4:K32873,"=Bildirimli",'[7]TABLO-1'!I4:I32873,"=Uzun",'[7]TABLO-1'!D4:D32873,"=SÜLOĞLU")/P12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İşletmecisi",'[7]TABLO-1'!K4:K32873,"=Bildirimli",'[7]TABLO-1'!I4:I32873,"=Uzun",'[7]TABLO-1'!D4:D32873,"=SÜLOĞLU")/P7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İşletmecisi",'[7]TABLO-1'!K4:K32873,"=Bildirimli",'[7]TABLO-1'!I4:I32873,"=Uzun",'[7]TABLO-1'!D4:D32873,"=SÜLOĞLU")/P13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İşletmecisi",'[7]TABLO-1'!K4:K32873,"=Bildirimli",'[7]TABLO-1'!I4:I32873,"=Uzun",'[7]TABLO-1'!D4:D32873,"=SÜLOĞLU")/P8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İşletmecisi",'[7]TABLO-1'!K4:K32873,"=Bildirimli",'[7]TABLO-1'!I4:I32873,"=Uzun",'[7]TABLO-1'!D4:D32873,"=SÜLOĞLU")/P14</f>
        <v>3.688243064793169</v>
      </c>
      <c r="L24" s="10">
        <f t="shared" si="7"/>
        <v>3.6496732026776848</v>
      </c>
      <c r="M24" s="11">
        <f t="shared" si="8"/>
        <v>1.914951989059279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SUMIFS('[7]TABLO-1'!U4:U32873,'[7]TABLO-1'!H4:H32873,"=Dağıtım-AG",'[7]TABLO-1'!J4:J32873,"=Güvenlik",'[7]TABLO-1'!K4:K32873,"=Bildirimli",'[7]TABLO-1'!I4:I32873,"=Uzun",'[7]TABLO-1'!D4:D32873,"=SÜLOĞLU")/P6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SUMIFS('[7]TABLO-1'!V4:V32873,'[7]TABLO-1'!H4:H32873,"=Dağıtım-AG",'[7]TABLO-1'!J4:J32873,"=Güvenlik",'[7]TABLO-1'!K4:K32873,"=Bildirimli",'[7]TABLO-1'!I4:I32873,"=Uzun",'[7]TABLO-1'!D4:D32873,"=SÜLOĞLU")/P12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SUMIFS('[7]TABLO-1'!W4:W32873,'[7]TABLO-1'!H4:H32873,"=Dağıtım-AG",'[7]TABLO-1'!J4:J32873,"=Güvenlik",'[7]TABLO-1'!K4:K32873,"=Bildirimli",'[7]TABLO-1'!I4:I32873,"=Uzun",'[7]TABLO-1'!D4:D32873,"=SÜLOĞLU")/P7</f>
        <v>0</v>
      </c>
      <c r="H25" s="10">
        <f>SUMIFS('[7]TABLO-1'!X4:X32873,'[7]TABLO-1'!H4:H32873,"=Dağıtım-AG",'[7]TABLO-1'!J4:J32873,"=Güvenlik",'[7]TABLO-1'!K4:K32873,"=Bildirimli",'[7]TABLO-1'!I4:I32873,"=Uzun",'[7]TABLO-1'!D4:D32873,"=SÜLOĞLU")/P13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SUMIFS('[7]TABLO-1'!Y4:Y32873,'[7]TABLO-1'!H4:H32873,"=Dağıtım-AG",'[7]TABLO-1'!J4:J32873,"=Güvenlik",'[7]TABLO-1'!K4:K32873,"=Bildirimli",'[7]TABLO-1'!I4:I32873,"=Uzun",'[7]TABLO-1'!D4:D32873,"=SÜLOĞLU")/P8</f>
        <v>0</v>
      </c>
      <c r="K25" s="10">
        <f>SUMIFS('[7]TABLO-1'!Z4:Z32873,'[7]TABLO-1'!H4:H32873,"=Dağıtım-AG",'[7]TABLO-1'!J4:J32873,"=Güvenlik",'[7]TABLO-1'!K4:K32873,"=Bildirimli",'[7]TABLO-1'!I4:I32873,"=Uzun",'[7]TABLO-1'!D4:D32873,"=SÜLOĞLU")/P14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0</v>
      </c>
      <c r="I26" s="10">
        <f t="shared" si="9"/>
        <v>0</v>
      </c>
      <c r="J26" s="10">
        <f t="shared" si="9"/>
        <v>0</v>
      </c>
      <c r="K26" s="10">
        <f t="shared" si="9"/>
        <v>3.688243064793169</v>
      </c>
      <c r="L26" s="10">
        <f t="shared" si="9"/>
        <v>3.6496732026776848</v>
      </c>
      <c r="M26" s="11">
        <f t="shared" si="9"/>
        <v>1.914951989059279</v>
      </c>
      <c r="O26" s="43" t="s">
        <v>22</v>
      </c>
      <c r="P26" s="44">
        <f>P20+P17+P23</f>
        <v>4374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İşletmecisi",'[7]TABLO-1'!K4:K32873,"=Bildirimsiz",'[7]TABLO-1'!I4:I32873,"=Uzun",'[7]TABLO-1'!D4:D32873,"=SÜLOĞLU")/P6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İşletmecisi",'[7]TABLO-1'!K4:K32873,"=Bildirimsiz",'[7]TABLO-1'!I4:I32873,"=Uzun",'[7]TABLO-1'!D4:D32873,"=SÜLOĞLU")/P12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İşletmecisi",'[7]TABLO-1'!K4:K32873,"=Bildirimsiz",'[7]TABLO-1'!I4:I32873,"=Uzun",'[7]TABLO-1'!D4:D32873,"=SÜLOĞLU")/P7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İşletmecisi",'[7]TABLO-1'!K4:K32873,"=Bildirimsiz",'[7]TABLO-1'!I4:I32873,"=Uzun",'[7]TABLO-1'!D4:D32873,"=SÜLOĞLU")/P13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İşletmecisi",'[7]TABLO-1'!K4:K32873,"=Bildirimsiz",'[7]TABLO-1'!I4:I32873,"=Uzun",'[7]TABLO-1'!D4:D32873,"=SÜLOĞLU")/P8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İşletmecisi",'[7]TABLO-1'!K4:K32873,"=bildirimsiz",'[7]TABLO-1'!I4:I32873,"=Uzun",'[7]TABLO-1'!D4:D32873,"=SÜLOĞLU")/P14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Sebep",'[7]TABLO-1'!K4:K32873,"=Bildirimsiz",'[7]TABLO-1'!I4:I32873,"=Uzun",'[7]TABLO-1'!D4:D32873,"=SÜLOĞLU")/P6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Sebep",'[7]TABLO-1'!K4:K32873,"=Bildirimsiz",'[7]TABLO-1'!I4:I32873,"=Uzun",'[7]TABLO-1'!D4:D32873,"=SÜLOĞLU")/P12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Sebep",'[7]TABLO-1'!K4:K32873,"=Bildirimsiz",'[7]TABLO-1'!I4:I32873,"=Uzun",'[7]TABLO-1'!D4:D32873,"=SÜLOĞLU")/P7</f>
        <v>0</v>
      </c>
      <c r="H32" s="10">
        <f>SUMIFS('[7]TABLO-1'!R4:R32873,'[7]TABLO-1'!H4:H32873,"=İletim",'[7]TABLO-1'!J4:J32873,"=Mücbir Sebep",'[7]TABLO-1'!K4:K32873,"=Bildirimsiz",'[7]TABLO-1'!I4:I32873,"=Uzun",'[7]TABLO-1'!D4:D32873,"=SÜLOĞLU")/P13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Sebep",'[7]TABLO-1'!K4:K32873,"=Bildirimsiz",'[7]TABLO-1'!I4:I32873,"=Uzun",'[7]TABLO-1'!D4:D32873,"=SÜLOĞLU")/P8</f>
        <v>0</v>
      </c>
      <c r="K32" s="10">
        <f>SUMIFS('[7]TABLO-1'!T4:T32873,'[7]TABLO-1'!H4:H32873,"=İletim",'[7]TABLO-1'!J4:J32873,"=Mücbir Sebep",'[7]TABLO-1'!K4:K32873,"=bildirimsiz",'[7]TABLO-1'!I4:I32873,"=Uzun",'[7]TABLO-1'!D4:D32873,"=SÜLOĞLU")/P14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İşletmecisi",'[7]TABLO-1'!K4:K32873,"=Bildirimsiz",'[7]TABLO-1'!I4:I32873,"=Uzun",'[7]TABLO-1'!D4:D32873,"=SÜLOĞLU")/P6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İşletmecisi",'[7]TABLO-1'!K4:K32873,"=Bildirimsiz",'[7]TABLO-1'!I4:I32873,"=Uzun",'[7]TABLO-1'!D4:D32873,"=SÜLOĞLU")/P12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İşletmecisi",'[7]TABLO-1'!K4:K32873,"=Bildirimsiz",'[7]TABLO-1'!I4:I32873,"=Uzun",'[7]TABLO-1'!D4:D32873,"=SÜLOĞLU")/P7</f>
        <v>0.18181818181818182</v>
      </c>
      <c r="H33" s="10">
        <f>SUMIFS('[7]TABLO-1'!R4:R32873,'[7]TABLO-1'!H4:H32873,"=Dağıtım-OG",'[7]TABLO-1'!J4:J32873,"=Şebeke İşletmecisi",'[7]TABLO-1'!K4:K32873,"=Bildirimsiz",'[7]TABLO-1'!I4:I32873,"=Uzun",'[7]TABLO-1'!D4:D32873,"=SÜLOĞLU")/P13</f>
        <v>0</v>
      </c>
      <c r="I33" s="10">
        <f t="shared" si="11"/>
        <v>9.6200096200096204E-4</v>
      </c>
      <c r="J33" s="10">
        <f>SUMIFS('[7]TABLO-1'!S4:S32873,'[7]TABLO-1'!H4:H32873,"=Dağıtım-OG",'[7]TABLO-1'!J4:J32873,"=Şebeke İşletmecisi",'[7]TABLO-1'!K4:K32873,"=Bildirimsiz",'[7]TABLO-1'!I4:I32873,"=Uzun",'[7]TABLO-1'!D4:D32873,"=SÜLOĞLU")/P8</f>
        <v>1.125</v>
      </c>
      <c r="K33" s="10">
        <f>SUMIFS('[7]TABLO-1'!T4:T32873,'[7]TABLO-1'!H4:H32873,"=Dağıtım-OG",'[7]TABLO-1'!J4:J32873,"=Şebeke İşletmecisi",'[7]TABLO-1'!K4:K32873,"=bildirimsiz",'[7]TABLO-1'!I4:I32873,"=Uzun",'[7]TABLO-1'!D4:D32873,"=SÜLOĞLU")/P14</f>
        <v>0.88859533245266398</v>
      </c>
      <c r="L33" s="10">
        <f t="shared" si="12"/>
        <v>0.89106753812636164</v>
      </c>
      <c r="M33" s="11">
        <f t="shared" si="13"/>
        <v>0.46799268404206673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SUMIFS('[7]TABLO-1'!O4:O32873,'[7]TABLO-1'!H4:H32873,"=Dağıtım-OG",'[7]TABLO-1'!J4:J32873,"=Dışsal",'[7]TABLO-1'!K4:K32873,"=Bildirimsiz",'[7]TABLO-1'!I4:I32873,"=Uzun",'[7]TABLO-1'!D4:D32873,"=SÜLOĞLU")/P6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SUMIFS('[7]TABLO-1'!P4:P32873,'[7]TABLO-1'!H4:H32873,"=Dağıtım-OG",'[7]TABLO-1'!J4:J32873,"=Dışsal",'[7]TABLO-1'!K4:K32873,"=Bildirimsiz",'[7]TABLO-1'!I4:I32873,"=Uzun",'[7]TABLO-1'!D4:D32873,"=SÜLOĞLU")/P12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SUMIFS('[7]TABLO-1'!Q4:Q32873,'[7]TABLO-1'!H4:H32873,"=Dağıtım-OG",'[7]TABLO-1'!J4:J32873,"=Dışsal",'[7]TABLO-1'!K4:K32873,"=Bildirimsiz",'[7]TABLO-1'!I4:I32873,"=Uzun",'[7]TABLO-1'!D4:D32873,"=SÜLOĞLU")/P7</f>
        <v>0</v>
      </c>
      <c r="H34" s="10">
        <f>SUMIFS('[7]TABLO-1'!R4:R32873,'[7]TABLO-1'!H4:H32873,"=Dağıtım-OG",'[7]TABLO-1'!J4:J32873,"=Dışsal",'[7]TABLO-1'!K4:K32873,"=Bildirimsiz",'[7]TABLO-1'!I4:I32873,"=Uzun",'[7]TABLO-1'!D4:D32873,"=SÜLOĞLU")/P13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SUMIFS('[7]TABLO-1'!S4:S32873,'[7]TABLO-1'!H4:H32873,"=Dağıtım-OG",'[7]TABLO-1'!J4:J32873,"=Dışsal",'[7]TABLO-1'!K4:K32873,"=Bildirimsiz",'[7]TABLO-1'!I4:I32873,"=Uzun",'[7]TABLO-1'!D4:D32873,"=SÜLOĞLU")/P8</f>
        <v>0</v>
      </c>
      <c r="K34" s="10">
        <f>SUMIFS('[7]TABLO-1'!T4:T32873,'[7]TABLO-1'!H4:H32873,"=Dağıtım-OG",'[7]TABLO-1'!J4:J32873,"=Dışsal",'[7]TABLO-1'!K4:K32873,"=bildirimsiz",'[7]TABLO-1'!I4:I32873,"=Uzun",'[7]TABLO-1'!D4:D32873,"=SÜLOĞLU")/P14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Sebep",'[7]TABLO-1'!K4:K32873,"=Bildirimsiz",'[7]TABLO-1'!I4:I32873,"=Uzun",'[7]TABLO-1'!D4:D32873,"=SÜLOĞLU")/P6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Sebep",'[7]TABLO-1'!K4:K32873,"=Bildirimsiz",'[7]TABLO-1'!I4:I32873,"=Uzun",'[7]TABLO-1'!D4:D32873,"=SÜLOĞLU")/P12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Sebep",'[7]TABLO-1'!K4:K32873,"=Bildirimsiz",'[7]TABLO-1'!I4:I32873,"=Uzun",'[7]TABLO-1'!D4:D32873,"=SÜLOĞLU")/P7</f>
        <v>0</v>
      </c>
      <c r="H35" s="10">
        <f>SUMIFS('[7]TABLO-1'!R4:R32873,'[7]TABLO-1'!H4:H32873,"=Dağıtım-OG",'[7]TABLO-1'!J4:J32873,"=Mücbir Sebep",'[7]TABLO-1'!K4:K32873,"=Bildirimsiz",'[7]TABLO-1'!I4:I32873,"=Uzun",'[7]TABLO-1'!D4:D32873,"=SÜLOĞLU")/P13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Sebep",'[7]TABLO-1'!K4:K32873,"=Bildirimsiz",'[7]TABLO-1'!I4:I32873,"=Uzun",'[7]TABLO-1'!D4:D32873,"=SÜLOĞLU")/P8</f>
        <v>0</v>
      </c>
      <c r="K35" s="10">
        <f>SUMIFS('[7]TABLO-1'!T4:T32873,'[7]TABLO-1'!H4:H32873,"=Dağıtım-OG",'[7]TABLO-1'!J4:J32873,"=Mücbir Sebep",'[7]TABLO-1'!K4:K32873,"=bildirimsiz",'[7]TABLO-1'!I4:I32873,"=Uzun",'[7]TABLO-1'!D4:D32873,"=SÜLOĞLU")/P14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SUMIFS('[7]TABLO-1'!O4:O32873,'[7]TABLO-1'!H4:H32873,"=Dağıtım-OG",'[7]TABLO-1'!J4:J32873,"=Güvenlik",'[7]TABLO-1'!K4:K32873,"=Bildirimsiz",'[7]TABLO-1'!I4:I32873,"=Uzun",'[7]TABLO-1'!D4:D32873,"=SÜLOĞLU")/P6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SUMIFS('[7]TABLO-1'!P4:P32873,'[7]TABLO-1'!H4:H32873,"=Dağıtım-OG",'[7]TABLO-1'!J4:J32873,"=Güvenlik",'[7]TABLO-1'!K4:K32873,"=Bildirimsiz",'[7]TABLO-1'!I4:I32873,"=Uzun",'[7]TABLO-1'!D4:D32873,"=SÜLOĞLU")/P12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SUMIFS('[7]TABLO-1'!Q4:Q32873,'[7]TABLO-1'!H4:H32873,"=Dağıtım-OG",'[7]TABLO-1'!J4:J32873,"=Güvenlik",'[7]TABLO-1'!K4:K32873,"=Bildirimsiz",'[7]TABLO-1'!I4:I32873,"=Uzun",'[7]TABLO-1'!D4:D32873,"=SÜLOĞLU")/P7</f>
        <v>0</v>
      </c>
      <c r="H36" s="10">
        <f>SUMIFS('[7]TABLO-1'!R4:R32873,'[7]TABLO-1'!H4:H32873,"=Dağıtım-OG",'[7]TABLO-1'!J4:J32873,"=Güvenlik",'[7]TABLO-1'!K4:K32873,"=Bildirimsiz",'[7]TABLO-1'!I4:I32873,"=Uzun",'[7]TABLO-1'!D4:D32873,"=SÜLOĞLU")/P13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SUMIFS('[7]TABLO-1'!S4:S32873,'[7]TABLO-1'!H4:H32873,"=Dağıtım-OG",'[7]TABLO-1'!J4:J32873,"=Güvenlik",'[7]TABLO-1'!K4:K32873,"=Bildirimsiz",'[7]TABLO-1'!I4:I32873,"=Uzun",'[7]TABLO-1'!D4:D32873,"=SÜLOĞLU")/P8</f>
        <v>0</v>
      </c>
      <c r="K36" s="10">
        <f>SUMIFS('[7]TABLO-1'!T4:T32873,'[7]TABLO-1'!H4:H32873,"=Dağıtım-OG",'[7]TABLO-1'!J4:J32873,"=Güvenlik",'[7]TABLO-1'!K4:K32873,"=bildirimsiz",'[7]TABLO-1'!I4:I32873,"=Uzun",'[7]TABLO-1'!D4:D32873,"=SÜLOĞLU")/P14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İşletmecisi",'[7]TABLO-1'!K4:K32873,"=Bildirimsiz",'[7]TABLO-1'!I4:I32873,"=Uzun",'[7]TABLO-1'!D4:D32873,"=SÜLOĞLU")/P6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İşletmecisi",'[7]TABLO-1'!K4:K32873,"=Bildirimsiz",'[7]TABLO-1'!I4:I32873,"=Uzun",'[7]TABLO-1'!D4:D32873,"=SÜLOĞLU")/P12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İşletmecisi",'[7]TABLO-1'!K4:K32873,"=Bildirimsiz",'[7]TABLO-1'!I4:I32873,"=Uzun",'[7]TABLO-1'!D4:D32873,"=SÜLOĞLU")/P7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İşletmecisi",'[7]TABLO-1'!K4:K32873,"=Bildirimsiz",'[7]TABLO-1'!I4:I32873,"=Uzun",'[7]TABLO-1'!D4:D32873,"=SÜLOĞLU")/P13</f>
        <v>0</v>
      </c>
      <c r="I37" s="10">
        <f t="shared" si="11"/>
        <v>0</v>
      </c>
      <c r="J37" s="12">
        <f>SUMIFS('[7]TABLO-1'!S4:S32873,'[7]TABLO-1'!H4:H32873,"=Dağıtım-AG",'[7]TABLO-1'!J4:J32873,"=Şebeke İşletmecisi",'[7]TABLO-1'!K4:K32873,"=Bildirimsiz",'[7]TABLO-1'!I4:I32873,"=Uzun",'[7]TABLO-1'!D4:D32873,"=SÜLOĞLU")/P8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İşletmecisi",'[7]TABLO-1'!K4:K32873,"=bildirimsiz",'[7]TABLO-1'!I4:I32873,"=Uzun",'[7]TABLO-1'!D4:D32873,"=SÜLOĞLU")/P14</f>
        <v>0.11140466754733598</v>
      </c>
      <c r="L37" s="10">
        <f t="shared" si="12"/>
        <v>0.11023965141612201</v>
      </c>
      <c r="M37" s="11">
        <f t="shared" si="13"/>
        <v>5.7841792409693643E-2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SUMIFS('[7]TABLO-1'!O4:O32873,'[7]TABLO-1'!H4:H32873,"=Dağıtım-AG",'[7]TABLO-1'!J4:J32873,"=Dışsal",'[7]TABLO-1'!K4:K32873,"=Bildirimsiz",'[7]TABLO-1'!I4:I32873,"=Uzun",'[7]TABLO-1'!D4:D32873,"=SÜLOĞLU")/P6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SUMIFS('[7]TABLO-1'!P4:P32873,'[7]TABLO-1'!H4:H32873,"=Dağıtım-AG",'[7]TABLO-1'!J4:J32873,"=Dışsal",'[7]TABLO-1'!K4:K32873,"=Bildirimsiz",'[7]TABLO-1'!I4:I32873,"=Uzun",'[7]TABLO-1'!D4:D32873,"=SÜLOĞLU")/P12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SUMIFS('[7]TABLO-1'!Q4:Q32873,'[7]TABLO-1'!H4:H32873,"=Dağıtım-AG",'[7]TABLO-1'!J4:J32873,"=Dışsal",'[7]TABLO-1'!K4:K32873,"=Bildirimsiz",'[7]TABLO-1'!I4:I32873,"=Uzun",'[7]TABLO-1'!D4:D32873,"=SÜLOĞLU")/P7</f>
        <v>0</v>
      </c>
      <c r="H38" s="10">
        <f>SUMIFS('[7]TABLO-1'!R4:R32873,'[7]TABLO-1'!H4:H32873,"=Dağıtım-AG",'[7]TABLO-1'!J4:J32873,"=Dışsal",'[7]TABLO-1'!K4:K32873,"=Bildirimsiz",'[7]TABLO-1'!I4:I32873,"=Uzun",'[7]TABLO-1'!D4:D32873,"=SÜLOĞLU")/P13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SUMIFS('[7]TABLO-1'!S4:S32873,'[7]TABLO-1'!H4:H32873,"=Dağıtım-AG",'[7]TABLO-1'!J4:J32873,"=Dışsal",'[7]TABLO-1'!K4:K32873,"=Bildirimsiz",'[7]TABLO-1'!I4:I32873,"=Uzun",'[7]TABLO-1'!D4:D32873,"=SÜLOĞLU")/P8</f>
        <v>0</v>
      </c>
      <c r="K38" s="10">
        <f>SUMIFS('[7]TABLO-1'!T4:T32873,'[7]TABLO-1'!H4:H32873,"=Dağıtım-AG",'[7]TABLO-1'!J4:J32873,"=Dışsal",'[7]TABLO-1'!K4:K32873,"=bildirimsiz",'[7]TABLO-1'!I4:I32873,"=Uzun",'[7]TABLO-1'!D4:D32873,"=SÜLOĞLU")/P14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Sebep",'[7]TABLO-1'!K4:K32873,"=Bildirimsiz",'[7]TABLO-1'!I4:I32873,"=Uzun",'[7]TABLO-1'!D4:D32873,"=SÜLOĞLU")/P6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Sebep",'[7]TABLO-1'!K4:K32873,"=Bildirimsiz",'[7]TABLO-1'!I4:I32873,"=Uzun",'[7]TABLO-1'!D4:D32873,"=SÜLOĞLU")/P12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Sebep",'[7]TABLO-1'!K4:K32873,"=Bildirimsiz",'[7]TABLO-1'!I4:I32873,"=Uzun",'[7]TABLO-1'!D4:D32873,"=SÜLOĞLU")/P7</f>
        <v>0</v>
      </c>
      <c r="H39" s="10">
        <f>SUMIFS('[7]TABLO-1'!R4:R32873,'[7]TABLO-1'!H4:H32873,"=Dağıtım-AG",'[7]TABLO-1'!J4:J32873,"=Mücbir Sebep",'[7]TABLO-1'!K4:K32873,"=Bildirimsiz",'[7]TABLO-1'!I4:I32873,"=Uzun",'[7]TABLO-1'!D4:D32873,"=SÜLOĞLU")/P13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Sebep",'[7]TABLO-1'!K4:K32873,"=Bildirimsiz",'[7]TABLO-1'!I4:I32873,"=Uzun",'[7]TABLO-1'!D4:D32873,"=SÜLOĞLU")/P8</f>
        <v>0</v>
      </c>
      <c r="K39" s="10">
        <f>SUMIFS('[7]TABLO-1'!T4:T32873,'[7]TABLO-1'!H4:H32873,"=Dağıtım-AG",'[7]TABLO-1'!J4:J32873,"=Mücbir Sebep",'[7]TABLO-1'!K4:K32873,"=bildirimsiz",'[7]TABLO-1'!I4:I32873,"=Uzun",'[7]TABLO-1'!D4:D32873,"=SÜLOĞLU")/P14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SUMIFS('[7]TABLO-1'!O4:O32873,'[7]TABLO-1'!H4:H32873,"=Dağıtım-AG",'[7]TABLO-1'!J4:J32873,"=Güvenlik",'[7]TABLO-1'!K4:K32873,"=Bildirimsiz",'[7]TABLO-1'!I4:I32873,"=Uzun",'[7]TABLO-1'!D4:D32873,"=SÜLOĞLU")/P6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SUMIFS('[7]TABLO-1'!P4:P32873,'[7]TABLO-1'!H4:H32873,"=Dağıtım-AG",'[7]TABLO-1'!J4:J32873,"=Güvenlik",'[7]TABLO-1'!K4:K32873,"=Bildirimsiz",'[7]TABLO-1'!I4:I32873,"=Uzun",'[7]TABLO-1'!D4:D32873,"=SÜLOĞLU")/P12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SUMIFS('[7]TABLO-1'!Q4:Q32873,'[7]TABLO-1'!H4:H32873,"=Dağıtım-AG",'[7]TABLO-1'!J4:J32873,"=Güvenlik",'[7]TABLO-1'!K4:K32873,"=Bildirimsiz",'[7]TABLO-1'!I4:I32873,"=Uzun",'[7]TABLO-1'!D4:D32873,"=SÜLOĞLU")/P7</f>
        <v>0</v>
      </c>
      <c r="H40" s="10">
        <f>SUMIFS('[7]TABLO-1'!R4:R32873,'[7]TABLO-1'!H4:H32873,"=Dağıtım-AG",'[7]TABLO-1'!J4:J32873,"=Güvenlik",'[7]TABLO-1'!K4:K32873,"=Bildirimsiz",'[7]TABLO-1'!I4:I32873,"=Uzun",'[7]TABLO-1'!D4:D32873,"=SÜLOĞLU")/P13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SUMIFS('[7]TABLO-1'!S4:S32873,'[7]TABLO-1'!H4:H32873,"=Dağıtım-AG",'[7]TABLO-1'!J4:J32873,"=Güvenlik",'[7]TABLO-1'!K4:K32873,"=Bildirimsiz",'[7]TABLO-1'!I4:I32873,"=Uzun",'[7]TABLO-1'!D4:D32873,"=SÜLOĞLU")/P8</f>
        <v>0</v>
      </c>
      <c r="K40" s="10">
        <f>SUMIFS('[7]TABLO-1'!T4:T32873,'[7]TABLO-1'!H4:H32873,"=Dağıtım-AG",'[7]TABLO-1'!J4:J32873,"=Güvenlik",'[7]TABLO-1'!K4:K32873,"=bildirimsiz",'[7]TABLO-1'!I4:I32873,"=Uzun",'[7]TABLO-1'!D4:D32873,"=SÜLOĞLU")/P14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0.18181818181818182</v>
      </c>
      <c r="H41" s="10">
        <f t="shared" si="14"/>
        <v>0</v>
      </c>
      <c r="I41" s="10">
        <f t="shared" si="14"/>
        <v>9.6200096200096204E-4</v>
      </c>
      <c r="J41" s="10">
        <f t="shared" si="14"/>
        <v>1.125</v>
      </c>
      <c r="K41" s="10">
        <f t="shared" si="14"/>
        <v>1</v>
      </c>
      <c r="L41" s="10">
        <f t="shared" si="14"/>
        <v>1.0013071895424837</v>
      </c>
      <c r="M41" s="10">
        <f t="shared" si="14"/>
        <v>0.5258344764517604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İşletmecisi",'[7]TABLO-1'!K4:K32873,"=Bildirimli",'[7]TABLO-1'!I4:I32873,"=Uzun",'[7]TABLO-1'!D4:D32873,"=SÜLOĞLU")/P6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İşletmecisi",'[7]TABLO-1'!K4:K32873,"=Bildirimli",'[7]TABLO-1'!I4:I32873,"=Uzun",'[7]TABLO-1'!D4:D32873,"=SÜLOĞLU")/P12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İşletmecisi",'[7]TABLO-1'!K4:K32873,"=Bildirimli",'[7]TABLO-1'!I4:I32873,"=Uzun",'[7]TABLO-1'!D4:D32873,"=SÜLOĞLU")/P7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İşletmecisi",'[7]TABLO-1'!K4:K32873,"=Bildirimli",'[7]TABLO-1'!I4:I32873,"=Uzun",'[7]TABLO-1'!D4:D32873,"=SÜLOĞLU")/P13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İşletmecisi",'[7]TABLO-1'!K4:K32873,"=Bildirimli",'[7]TABLO-1'!I4:I32873,"=Uzun",'[7]TABLO-1'!D4:D32873,"=SÜLOĞLU")/P8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İşletmecisi",'[7]TABLO-1'!K4:K32873,"=bildirimli",'[7]TABLO-1'!I4:I32873,"=Uzun",'[7]TABLO-1'!D4:D32873,"=SÜLOĞLU")/P14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İşletmecisi",'[7]TABLO-1'!K4:K32873,"=Bildirimli",'[7]TABLO-1'!I4:I32873,"=Uzun",'[7]TABLO-1'!D4:D32873,"=SÜLOĞLU")/P6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İşletmecisi",'[7]TABLO-1'!K4:K32873,"=Bildirimli",'[7]TABLO-1'!I4:I32873,"=Uzun",'[7]TABLO-1'!D4:D32873,"=SÜLOĞLU")/P12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İşletmecisi",'[7]TABLO-1'!K4:K32873,"=Bildirimli",'[7]TABLO-1'!I4:I32873,"=Uzun",'[7]TABLO-1'!D4:D32873,"=SÜLOĞLU")/P7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İşletmecisi",'[7]TABLO-1'!K4:K32873,"=Bildirimli",'[7]TABLO-1'!I4:I32873,"=Uzun",'[7]TABLO-1'!D4:D32873,"=SÜLOĞLU")/P13</f>
        <v>0</v>
      </c>
      <c r="I47" s="10">
        <f t="shared" ref="I47:I50" si="16">IFERROR((((G47*$P$7)+(H47*$P$13))/$P$20),"0,00")</f>
        <v>0</v>
      </c>
      <c r="J47" s="10">
        <f>SUMIFS('[7]TABLO-1'!S4:S32873,'[7]TABLO-1'!H4:H32873,"=Dağıtım-OG",'[7]TABLO-1'!J4:J32873,"=Şebeke İşletmecisi",'[7]TABLO-1'!K4:K32873,"=Bildirimli",'[7]TABLO-1'!I4:I32873,"=Uzun",'[7]TABLO-1'!D4:D32873,"=SÜLOĞLU")/P8</f>
        <v>0</v>
      </c>
      <c r="K47" s="10">
        <f>SUMIFS('[7]TABLO-1'!T4:T32873,'[7]TABLO-1'!H4:H32873,"=Dağıtım-OG",'[7]TABLO-1'!J4:J32873,"=Şebeke İşletmecisi",'[7]TABLO-1'!K4:K32873,"=bildirimli",'[7]TABLO-1'!I4:I32873,"=Uzun",'[7]TABLO-1'!D4:D32873,"=SÜLOĞLU")/P14</f>
        <v>0</v>
      </c>
      <c r="L47" s="10">
        <f t="shared" ref="L47:L50" si="17">IFERROR((((J47*$P$8)+(K47*$P$14))/$P$23),"0,00")</f>
        <v>0</v>
      </c>
      <c r="M47" s="11">
        <f t="shared" ref="M47:M50" si="18">IFERROR((((F47*$P$17)+(I47*$P$20)+(L47*$P$23))/$P$26),"0,00")</f>
        <v>0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SUMIFS('[7]TABLO-1'!O4:O32873,'[7]TABLO-1'!H4:H32873,"=Dağıtım-OG",'[7]TABLO-1'!J4:J32873,"=Güvenlik",'[7]TABLO-1'!K4:K32873,"=Bildirimli",'[7]TABLO-1'!I4:I32873,"=Uzun",'[7]TABLO-1'!D4:D32873,"=SÜLOĞLU")/P6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SUMIFS('[7]TABLO-1'!P4:P32873,'[7]TABLO-1'!H4:H32873,"=Dağıtım-OG",'[7]TABLO-1'!J4:J32873,"=Güvenlik",'[7]TABLO-1'!K4:K32873,"=Bildirimli",'[7]TABLO-1'!I4:I32873,"=Uzun",'[7]TABLO-1'!D4:D32873,"=SÜLOĞLU")/P12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SUMIFS('[7]TABLO-1'!Q4:Q32873,'[7]TABLO-1'!H4:H32873,"=Dağıtım-OG",'[7]TABLO-1'!J4:J32873,"=Güvenlik",'[7]TABLO-1'!K4:K32873,"=Bildirimli",'[7]TABLO-1'!I4:I32873,"=Uzun",'[7]TABLO-1'!D4:D32873,"=SÜLOĞLU")/P7</f>
        <v>0</v>
      </c>
      <c r="H48" s="10">
        <f>SUMIFS('[7]TABLO-1'!R4:R32873,'[7]TABLO-1'!H4:H32873,"=Dağıtım-OG",'[7]TABLO-1'!J4:J32873,"=Güvenlik",'[7]TABLO-1'!K4:K32873,"=Bildirimli",'[7]TABLO-1'!I4:I32873,"=Uzun",'[7]TABLO-1'!D4:D32873,"=SÜLOĞLU")/P13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SUMIFS('[7]TABLO-1'!S4:S32873,'[7]TABLO-1'!H4:H32873,"=Dağıtım-OG",'[7]TABLO-1'!J4:J32873,"=Güvenlik",'[7]TABLO-1'!K4:K32873,"=Bildirimli",'[7]TABLO-1'!I4:I32873,"=Uzun",'[7]TABLO-1'!D4:D32873,"=SÜLOĞLU")/P8</f>
        <v>0</v>
      </c>
      <c r="K48" s="10">
        <f>SUMIFS('[7]TABLO-1'!T4:T32873,'[7]TABLO-1'!H4:H32873,"=Dağıtım-OG",'[7]TABLO-1'!J4:J32873,"=Güvenlik",'[7]TABLO-1'!K4:K32873,"=bildirimli",'[7]TABLO-1'!I4:I32873,"=Uzun",'[7]TABLO-1'!D4:D32873,"=SÜLOĞLU")/P14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İşletmecisi",'[7]TABLO-1'!K4:K32873,"=Bildirimli",'[7]TABLO-1'!I4:I32873,"=Uzun",'[7]TABLO-1'!D4:D32873,"=SÜLOĞLU")/P6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İşletmecisi",'[7]TABLO-1'!K4:K32873,"=Bildirimli",'[7]TABLO-1'!I4:I32873,"=Uzun",'[7]TABLO-1'!D4:D32873,"=SÜLOĞLU")/P12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İşletmecisi",'[7]TABLO-1'!K4:K32873,"=Bildirimli",'[7]TABLO-1'!I4:I32873,"=Uzun",'[7]TABLO-1'!D4:D32873,"=SÜLOĞLU")/P7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İşletmecisi",'[7]TABLO-1'!K4:K32873,"=Bildirimli",'[7]TABLO-1'!I4:I32873,"=Uzun",'[7]TABLO-1'!D4:D32873,"=SÜLOĞLU")/P13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İşletmecisi",'[7]TABLO-1'!K4:K32873,"=Bildirimli",'[7]TABLO-1'!I4:I32873,"=Uzun",'[7]TABLO-1'!D4:D32873,"=SÜLOĞLU")/P8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İşletmecisi",'[7]TABLO-1'!K4:K32873,"=bildirimli",'[7]TABLO-1'!I4:I32873,"=Uzun",'[7]TABLO-1'!D4:D32873,"=SÜLOĞLU")/P14</f>
        <v>1.0568031704095112E-2</v>
      </c>
      <c r="L49" s="10">
        <f t="shared" si="17"/>
        <v>1.045751633986928E-2</v>
      </c>
      <c r="M49" s="11">
        <f t="shared" si="18"/>
        <v>5.4869684499314125E-3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SUMIFS('[7]TABLO-1'!O4:O32873,'[7]TABLO-1'!H4:H32873,"=Dağıtım-AG",'[7]TABLO-1'!J4:J32873,"=Güvenlik",'[7]TABLO-1'!K4:K32873,"=Bildirimli",'[7]TABLO-1'!I4:I32873,"=Uzun",'[7]TABLO-1'!D4:D32873,"=SÜLOĞLU")/P6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SUMIFS('[7]TABLO-1'!P4:P32873,'[7]TABLO-1'!H4:H32873,"=Dağıtım-AG",'[7]TABLO-1'!J4:J32873,"=Güvenlik",'[7]TABLO-1'!K4:K32873,"=Bildirimli",'[7]TABLO-1'!I4:I32873,"=Uzun",'[7]TABLO-1'!D4:D32873,"=SÜLOĞLU")/P12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SUMIFS('[7]TABLO-1'!Q4:Q32873,'[7]TABLO-1'!H4:H32873,"=Dağıtım-AG",'[7]TABLO-1'!J4:J32873,"=Güvenlik",'[7]TABLO-1'!K4:K32873,"=Bildirimli",'[7]TABLO-1'!I4:I32873,"=Uzun",'[7]TABLO-1'!D4:D32873,"=SÜLOĞLU")/P7</f>
        <v>0</v>
      </c>
      <c r="H50" s="10">
        <f>SUMIFS('[7]TABLO-1'!R4:R32873,'[7]TABLO-1'!H4:H32873,"=Dağıtım-AG",'[7]TABLO-1'!J4:J32873,"=Güvenlik",'[7]TABLO-1'!K4:K32873,"=Bildirimli",'[7]TABLO-1'!I4:I32873,"=Uzun",'[7]TABLO-1'!D4:D32873,"=SÜLOĞLU")/P13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SUMIFS('[7]TABLO-1'!S4:S32873,'[7]TABLO-1'!H4:H32873,"=Dağıtım-AG",'[7]TABLO-1'!J4:J32873,"=Güvenlik",'[7]TABLO-1'!K4:K32873,"=Bildirimli",'[7]TABLO-1'!I4:I32873,"=Uzun",'[7]TABLO-1'!D4:D32873,"=SÜLOĞLU")/P8</f>
        <v>0</v>
      </c>
      <c r="K50" s="10">
        <f>SUMIFS('[7]TABLO-1'!T4:T32873,'[7]TABLO-1'!H4:H32873,"=Dağıtım-AG",'[7]TABLO-1'!J4:J32873,"=Güvenlik",'[7]TABLO-1'!K4:K32873,"=bildirimli",'[7]TABLO-1'!I4:I32873,"=Uzun",'[7]TABLO-1'!D4:D32873,"=SÜLOĞLU")/P14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0</v>
      </c>
      <c r="I51" s="10">
        <f t="shared" si="19"/>
        <v>0</v>
      </c>
      <c r="J51" s="10">
        <f t="shared" si="19"/>
        <v>0</v>
      </c>
      <c r="K51" s="10">
        <f t="shared" si="19"/>
        <v>1.0568031704095112E-2</v>
      </c>
      <c r="L51" s="10">
        <f t="shared" si="19"/>
        <v>1.045751633986928E-2</v>
      </c>
      <c r="M51" s="10">
        <f t="shared" si="19"/>
        <v>5.4869684499314125E-3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SUMIFS('[7]TABLO-1'!O1:O32873,'[7]TABLO-1'!H1:H32873,"=İletim",'[7]TABLO-1'!K1:K32873,"=Bildirimsiz",'[7]TABLO-1'!I1:I32873,"=Kısa",'[7]TABLO-1'!D1:D32873,"=SÜLOĞLU")/P6</f>
        <v>#DIV/0!</v>
      </c>
      <c r="D56" s="10" t="e">
        <f>SUMIFS('[7]TABLO-1'!P1:P32873,'[7]TABLO-1'!H1:H32873,"=İletim",'[7]TABLO-1'!K1:K32873,"=Bildirimsiz",'[7]TABLO-1'!I1:I32873,"=Kısa",'[7]TABLO-1'!D1:D32873,"=SÜLOĞLU")/P12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SUMIFS('[7]TABLO-1'!Q1:Q32873,'[7]TABLO-1'!H1:H32873,"=İletim",'[7]TABLO-1'!K1:K32873,"=Bildirimsiz",'[7]TABLO-1'!I1:I32873,"=Kısa",'[7]TABLO-1'!D1:D32873,"=SÜLOĞLU")/P7</f>
        <v>0</v>
      </c>
      <c r="G56" s="10">
        <f>SUMIFS('[7]TABLO-1'!R1:R32873,'[7]TABLO-1'!H1:H32873,"=İletim",'[7]TABLO-1'!K1:K32873,"=Bildirimsiz",'[7]TABLO-1'!I1:I32873,"=Kısa",'[7]TABLO-1'!D1:D32873,"=SÜLOĞLU")/P13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SUMIFS('[7]TABLO-1'!S1:S32873,'[7]TABLO-1'!H1:H32873,"=İletim",'[7]TABLO-1'!K1:K32873,"=Bildirimsiz",'[7]TABLO-1'!I1:I32873,"=Kısa",'[7]TABLO-1'!D1:D32873,"=SÜLOĞLU")/P8</f>
        <v>0</v>
      </c>
      <c r="J56" s="10">
        <f>SUMIFS('[7]TABLO-1'!T1:T32873,'[7]TABLO-1'!H1:H32873,"=İletim",'[7]TABLO-1'!K1:K32873,"=Bildirimsiz",'[7]TABLO-1'!I1:I32873,"=Kısa",'[7]TABLO-1'!D1:D32873,"=SÜLOĞLU")/P14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SUMIFS('[7]TABLO-1'!O4:O32873,'[7]TABLO-1'!H4:H32873,"=Dağıtım-OG",'[7]TABLO-1'!K4:K32873,"=Bildirimsiz",'[7]TABLO-1'!I4:I32873,"=Kısa",'[7]TABLO-1'!D4:D32873,"=SÜLOĞLU")/P6</f>
        <v>#DIV/0!</v>
      </c>
      <c r="D57" s="10" t="e">
        <f>SUMIFS('[7]TABLO-1'!P4:P32873,'[7]TABLO-1'!H4:H32873,"=Dağıtım-OG",'[7]TABLO-1'!K4:K32873,"=Bildirimsiz",'[7]TABLO-1'!I4:I32873,"=Kısa",'[7]TABLO-1'!D4:D32873,"=SÜLOĞLU")/P12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SUMIFS('[7]TABLO-1'!Q4:Q32873,'[7]TABLO-1'!H4:H32873,"=Dağıtım-OG",'[7]TABLO-1'!K4:K32873,"=Bildirimsiz",'[7]TABLO-1'!I4:I32873,"=Kısa",'[7]TABLO-1'!D4:D32873,"=SÜLOĞLU")/P7</f>
        <v>0</v>
      </c>
      <c r="G57" s="10">
        <f>SUMIFS('[7]TABLO-1'!R4:R32873,'[7]TABLO-1'!H4:H32873,"=Dağıtım-OG",'[7]TABLO-1'!K4:K32873,"=Bildirimsiz",'[7]TABLO-1'!I4:I32873,"=Kısa",'[7]TABLO-1'!D4:D32873,"=SÜLOĞLU")/P13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SUMIFS('[7]TABLO-1'!S4:S32873,'[7]TABLO-1'!H4:H32873,"=Dağıtım-OG",'[7]TABLO-1'!K4:K32873,"=Bildirimsiz",'[7]TABLO-1'!I4:I32873,"=Kısa",'[7]TABLO-1'!D4:D32873,"=SÜLOĞLU")/P8</f>
        <v>0</v>
      </c>
      <c r="J57" s="10">
        <f>SUMIFS('[7]TABLO-1'!T4:T32873,'[7]TABLO-1'!H4:H32873,"=Dağıtım-OG",'[7]TABLO-1'!K4:K32873,"=Bildirimsiz",'[7]TABLO-1'!I4:I32873,"=Kısa",'[7]TABLO-1'!D4:D32873,"=SÜLOĞLU")/P14</f>
        <v>0</v>
      </c>
      <c r="K57" s="10">
        <f>IFERROR((((I57*$P$8)+(J57*$P$14))/$P$23),"0,00")</f>
        <v>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SUMIFS('[7]TABLO-1'!O4:O32873,'[7]TABLO-1'!H4:H32873,"=Dağıtım-AG",'[7]TABLO-1'!K4:K32873,"=Bildirimsiz",'[7]TABLO-1'!I4:I32873,"=Kısa",'[7]TABLO-1'!D4:D32873,"=SÜLOĞLU")/P6</f>
        <v>#DIV/0!</v>
      </c>
      <c r="D58" s="10" t="e">
        <f>SUMIFS('[7]TABLO-1'!P4:P32873,'[7]TABLO-1'!H4:H32873,"=Dağıtım-AG",'[7]TABLO-1'!K4:K32873,"=Bildirimsiz",'[7]TABLO-1'!I4:I32873,"=Kısa",'[7]TABLO-1'!D4:D32873,"=SÜLOĞLU")/P12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SUMIFS('[7]TABLO-1'!Q4:Q32873,'[7]TABLO-1'!H4:H32873,"=Dağıtım-AG",'[7]TABLO-1'!K4:K32873,"=Bildirimsiz",'[7]TABLO-1'!I4:I32873,"=Kısa",'[7]TABLO-1'!D4:D32873,"=SÜLOĞLU")/P7</f>
        <v>0</v>
      </c>
      <c r="G58" s="10">
        <f>SUMIFS('[7]TABLO-1'!R4:R32873,'[7]TABLO-1'!H4:H32873,"=Dağıtım-AG",'[7]TABLO-1'!K4:K32873,"=Bildirimsiz",'[7]TABLO-1'!I4:I32873,"=Kısa",'[7]TABLO-1'!D4:D32873,"=SÜLOĞLU")/P13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SUMIFS('[7]TABLO-1'!S4:S32873,'[7]TABLO-1'!H4:H32873,"=Dağıtım-AG",'[7]TABLO-1'!K4:K32873,"=Bildirimsiz",'[7]TABLO-1'!I4:I32873,"=Kısa",'[7]TABLO-1'!D4:D32873,"=SÜLOĞLU")/P8</f>
        <v>0</v>
      </c>
      <c r="J58" s="10">
        <f>SUMIFS('[7]TABLO-1'!T4:T32873,'[7]TABLO-1'!H4:H32873,"=Dağıtım-AG",'[7]TABLO-1'!K4:K32873,"=Bildirimsiz",'[7]TABLO-1'!I4:I32873,"=Kısa",'[7]TABLO-1'!D4:D32873,"=SÜLOĞLU")/P14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</v>
      </c>
      <c r="G59" s="10">
        <f t="shared" si="20"/>
        <v>0</v>
      </c>
      <c r="H59" s="10">
        <f t="shared" si="20"/>
        <v>0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0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11</v>
      </c>
      <c r="G65" s="27">
        <f>P13</f>
        <v>2068</v>
      </c>
      <c r="H65" s="17">
        <f>SUM(F65:G65)</f>
        <v>2079</v>
      </c>
      <c r="I65" s="17">
        <f>P8</f>
        <v>24</v>
      </c>
      <c r="J65" s="27">
        <f>P14</f>
        <v>2271</v>
      </c>
      <c r="K65" s="17">
        <f>SUM(I65:J65)</f>
        <v>2295</v>
      </c>
      <c r="L65" s="17">
        <f>H65+E65+K65</f>
        <v>4374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Q71"/>
  <sheetViews>
    <sheetView zoomScale="70" zoomScaleNormal="70" workbookViewId="0">
      <selection activeCell="N16" sqref="N1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İşletmecisi",'[7]TABLO-1'!K4:K32873,"=Bildirimsiz",'[7]TABLO-1'!I4:I32873,"=Uzun",'[7]TABLO-1'!D4:D32873,"=LALAPAŞA")/P6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İşletmecisi",'[7]TABLO-1'!K4:K32873,"=Bildirimsiz",'[7]TABLO-1'!I4:I32873,"=Uzun",'[7]TABLO-1'!D4:D32873,"=LALAPAŞA")/P12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İşletmecisi",'[7]TABLO-1'!K4:K32873,"=Bildirimsiz",'[7]TABLO-1'!I4:I32873,"=Uzun",'[7]TABLO-1'!D4:D32873,"=LALAPAŞA")/P7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İşletmecisi",'[7]TABLO-1'!K4:K32873,"=Bildirimsiz",'[7]TABLO-1'!I4:I32873,"=Uzun",'[7]TABLO-1'!D4:D32873,"=LALAPAŞA")/P13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İşletmecisi",'[7]TABLO-1'!K4:K32873,"=Bildirimsiz",'[7]TABLO-1'!I4:I32873,"=Uzun",'[7]TABLO-1'!D4:D32873,"=LALAPAŞA")/P8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İşletmecisi",'[7]TABLO-1'!K4:K32873,"=Bildirimsiz",'[7]TABLO-1'!I4:I32873,"=Uzun",'[7]TABLO-1'!D4:D32873,"=LALAPAŞA")/P14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Sebep",'[7]TABLO-1'!K4:K32873,"=Bildirimsiz",'[7]TABLO-1'!I4:I32873,"=Uzun",'[7]TABLO-1'!D4:D32873,"=LALAPAŞA")/P6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Sebep",'[7]TABLO-1'!K4:K32873,"=Bildirimsiz",'[7]TABLO-1'!I4:I32873,"=Uzun",'[7]TABLO-1'!D4:D32873,"=LALAPAŞA")/P12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Sebep",'[7]TABLO-1'!K4:K32873,"=Bildirimsiz",'[7]TABLO-1'!I4:I32873,"=Uzun",'[7]TABLO-1'!D4:D32873,"=LALAPAŞA")/P7</f>
        <v>0</v>
      </c>
      <c r="H7" s="10">
        <f>SUMIFS('[7]TABLO-1'!X4:X32873,'[7]TABLO-1'!H4:H32873,"=İletim",'[7]TABLO-1'!J4:J32873,"=Mücbir Sebep",'[7]TABLO-1'!K4:K32873,"=Bildirimsiz",'[7]TABLO-1'!I4:I32873,"=Uzun",'[7]TABLO-1'!D4:D32873,"=LALAPAŞA")/P13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Sebep",'[7]TABLO-1'!K4:K32873,"=Bildirimsiz",'[7]TABLO-1'!I4:I32873,"=Uzun",'[7]TABLO-1'!D4:D32873,"=LALAPAŞA")/P8</f>
        <v>0</v>
      </c>
      <c r="K7" s="10">
        <f>SUMIFS('[7]TABLO-1'!Z4:Z32873,'[7]TABLO-1'!H4:H32873,"=İletim",'[7]TABLO-1'!J4:J32873,"=Mücbir Sebep",'[7]TABLO-1'!K4:K32873,"=Bildirimsiz",'[7]TABLO-1'!I4:I32873,"=Uzun",'[7]TABLO-1'!D4:D32873,"=LALAPAŞA")/P14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15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İşletmecisi",'[7]TABLO-1'!K4:K32873,"=Bildirimsiz",'[7]TABLO-1'!I4:I32873,"=Uzun",'[7]TABLO-1'!D4:D32873,"=LALAPAŞA")/P6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İşletmecisi",'[7]TABLO-1'!K4:K32873,"=Bildirimsiz",'[7]TABLO-1'!I4:I32873,"=Uzun",'[7]TABLO-1'!D4:D32873,"=LALAPAŞA")/P12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İşletmecisi",'[7]TABLO-1'!K4:K32873,"=Bildirimsiz",'[7]TABLO-1'!I4:I32873,"=Uzun",'[7]TABLO-1'!D4:D32873,"=LALAPAŞA")/P7</f>
        <v>0</v>
      </c>
      <c r="H8" s="10">
        <f>SUMIFS('[7]TABLO-1'!X4:X32873,'[7]TABLO-1'!H4:H32873,"=Dağıtım-OG",'[7]TABLO-1'!J4:J32873,"=Şebeke İşletmecisi",'[7]TABLO-1'!K4:K32873,"=Bildirimsiz",'[7]TABLO-1'!I4:I32873,"=Uzun",'[7]TABLO-1'!D4:D32873,"=LALAPAŞA")/P13</f>
        <v>9.2548709798613085E-3</v>
      </c>
      <c r="I8" s="10">
        <f t="shared" si="1"/>
        <v>9.1465001252961885E-3</v>
      </c>
      <c r="J8" s="10">
        <f>SUMIFS('[7]TABLO-1'!Y4:Y32873,'[7]TABLO-1'!H4:H32873,"=Dağıtım-OG",'[7]TABLO-1'!J4:J32873,"=Şebeke İşletmecisi",'[7]TABLO-1'!K4:K32873,"=Bildirimsiz",'[7]TABLO-1'!I4:I32873,"=Uzun",'[7]TABLO-1'!D4:D32873,"=LALAPAŞA")/P8</f>
        <v>38.449999997631977</v>
      </c>
      <c r="K8" s="10">
        <f>SUMIFS('[7]TABLO-1'!Z4:Z32873,'[7]TABLO-1'!H4:H32873,"=Dağıtım-OG",'[7]TABLO-1'!J4:J32873,"=Şebeke İşletmecisi",'[7]TABLO-1'!K4:K32873,"=Bildirimsiz",'[7]TABLO-1'!I4:I32873,"=Uzun",'[7]TABLO-1'!D4:D32873,"=LALAPAŞA")/P14</f>
        <v>37.123996746984709</v>
      </c>
      <c r="L8" s="10">
        <f t="shared" si="2"/>
        <v>37.150920670855719</v>
      </c>
      <c r="M8" s="11">
        <f t="shared" si="3"/>
        <v>26.874762417571556</v>
      </c>
      <c r="O8" s="20" t="s">
        <v>36</v>
      </c>
      <c r="P8" s="53">
        <v>68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SUMIFS('[7]TABLO-1'!U4:U32873,'[7]TABLO-1'!H4:H32873,"=Dağıtım-OG",'[7]TABLO-1'!J4:J32873,"=Dışsal",'[7]TABLO-1'!K4:K32873,"=Bildirimsiz",'[7]TABLO-1'!I4:I32873,"=Uzun",'[7]TABLO-1'!D4:D32873,"=LALAPAŞA")/P6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SUMIFS('[7]TABLO-1'!V4:V32873,'[7]TABLO-1'!H4:H32873,"=Dağıtım-OG",'[7]TABLO-1'!J4:J32873,"=Dışsal",'[7]TABLO-1'!K4:K32873,"=Bildirimsiz",'[7]TABLO-1'!I4:I32873,"=Uzun",'[7]TABLO-1'!D4:D32873,"=LALAPAŞA")/P12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SUMIFS('[7]TABLO-1'!W4:W32873,'[7]TABLO-1'!H4:H32873,"=Dağıtım-OG",'[7]TABLO-1'!J4:J32873,"=Dışsal",'[7]TABLO-1'!K4:K32873,"=Bildirimsiz",'[7]TABLO-1'!I4:I32873,"=Uzun",'[7]TABLO-1'!D4:D32873,"=LALAPAŞA")/P7</f>
        <v>0</v>
      </c>
      <c r="H9" s="10">
        <f>SUMIFS('[7]TABLO-1'!X4:X32873,'[7]TABLO-1'!H4:H32873,"=Dağıtım-OG",'[7]TABLO-1'!J4:J32873,"=Dışsal",'[7]TABLO-1'!K4:K32873,"=Bildirimsiz",'[7]TABLO-1'!I4:I32873,"=Uzun",'[7]TABLO-1'!D4:D32873,"=LALAPAŞA")/P13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SUMIFS('[7]TABLO-1'!Y4:Y32873,'[7]TABLO-1'!H4:H32873,"=Dağıtım-OG",'[7]TABLO-1'!J4:J32873,"=Dışsal",'[7]TABLO-1'!K4:K32873,"=Bildirimsiz",'[7]TABLO-1'!I4:I32873,"=Uzun",'[7]TABLO-1'!D4:D32873,"=LALAPAŞA")/P8</f>
        <v>0</v>
      </c>
      <c r="K9" s="10">
        <f>SUMIFS('[7]TABLO-1'!Z4:Z32873,'[7]TABLO-1'!H4:H32873,"=Dağıtım-OG",'[7]TABLO-1'!J4:J32873,"=Dışsal",'[7]TABLO-1'!K4:K32873,"=Bildirimsiz",'[7]TABLO-1'!I4:I32873,"=Uzun",'[7]TABLO-1'!D4:D32873,"=LALAPAŞA")/P14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83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Sebep",'[7]TABLO-1'!K4:K32873,"=Bildirimsiz",'[7]TABLO-1'!I4:I32873,"=Uzun",'[7]TABLO-1'!D4:D32873,"=LALAPAŞA")/P6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Sebep",'[7]TABLO-1'!K4:K32873,"=Bildirimsiz",'[7]TABLO-1'!I4:I32873,"=Uzun",'[7]TABLO-1'!D4:D32873,"=LALAPAŞA")/P12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Sebep",'[7]TABLO-1'!K4:K32873,"=Bildirimsiz",'[7]TABLO-1'!I4:I32873,"=Uzun",'[7]TABLO-1'!D4:D32873,"=LALAPAŞA")/P7</f>
        <v>0</v>
      </c>
      <c r="H10" s="10">
        <f>SUMIFS('[7]TABLO-1'!X4:X32873,'[7]TABLO-1'!H4:H32873,"=Dağıtım-OG",'[7]TABLO-1'!J4:J32873,"=Mücbir Sebep",'[7]TABLO-1'!K4:K32873,"=Bildirimsiz",'[7]TABLO-1'!I4:I32873,"=Uzun",'[7]TABLO-1'!D4:D32873,"=LALAPAŞA")/P13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Sebep",'[7]TABLO-1'!K4:K32873,"=Bildirimsiz",'[7]TABLO-1'!I4:I32873,"=Uzun",'[7]TABLO-1'!D4:D32873,"=LALAPAŞA")/P8</f>
        <v>0</v>
      </c>
      <c r="K10" s="10">
        <f>SUMIFS('[7]TABLO-1'!Z4:Z32873,'[7]TABLO-1'!H4:H32873,"=Dağıtım-OG",'[7]TABLO-1'!J4:J32873,"=Mücbir Sebep",'[7]TABLO-1'!K4:K32873,"=Bildirimsiz",'[7]TABLO-1'!I4:I32873,"=Uzun",'[7]TABLO-1'!D4:D32873,"=LALAPAŞA")/P14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SUMIFS('[7]TABLO-1'!U4:U32873,'[7]TABLO-1'!H4:H32873,"=Dağıtım-OG",'[7]TABLO-1'!J4:J32873,"=Güvenlik",'[7]TABLO-1'!K4:K32873,"=Bildirimsiz",'[7]TABLO-1'!I4:I32873,"=Uzun",'[7]TABLO-1'!D4:D32873,"=LALAPAŞA")/P6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SUMIFS('[7]TABLO-1'!V4:V32873,'[7]TABLO-1'!H4:H32873,"=Dağıtım-OG",'[7]TABLO-1'!J4:J32873,"=Güvenlik",'[7]TABLO-1'!K4:K32873,"=Bildirimsiz",'[7]TABLO-1'!I4:I32873,"=Uzun",'[7]TABLO-1'!D4:D32873,"=LALAPAŞA")/P12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SUMIFS('[7]TABLO-1'!W4:W32873,'[7]TABLO-1'!H4:H32873,"=Dağıtım-OG",'[7]TABLO-1'!J4:J32873,"=Güvenlik",'[7]TABLO-1'!K4:K32873,"=Bildirimsiz",'[7]TABLO-1'!I4:I32873,"=Uzun",'[7]TABLO-1'!D4:D32873,"=LALAPAŞA")/P7</f>
        <v>0</v>
      </c>
      <c r="H11" s="10">
        <f>SUMIFS('[7]TABLO-1'!X4:X32873,'[7]TABLO-1'!H4:H32873,"=Dağıtım-OG",'[7]TABLO-1'!J4:J32873,"=Güvenlik",'[7]TABLO-1'!K4:K32873,"=Bildirimsiz",'[7]TABLO-1'!I4:I32873,"=Uzun",'[7]TABLO-1'!D4:D32873,"=LALAPAŞA")/P13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SUMIFS('[7]TABLO-1'!Y4:Y32873,'[7]TABLO-1'!H4:H32873,"=Dağıtım-OG",'[7]TABLO-1'!J4:J32873,"=Güvenlik",'[7]TABLO-1'!K4:K32873,"=Bildirimsiz",'[7]TABLO-1'!I4:I32873,"=Uzun",'[7]TABLO-1'!D4:D32873,"=LALAPAŞA")/P8</f>
        <v>0</v>
      </c>
      <c r="K11" s="10">
        <f>SUMIFS('[7]TABLO-1'!Z4:Z32873,'[7]TABLO-1'!H4:H32873,"=Dağıtım-OG",'[7]TABLO-1'!J4:J32873,"=Güvenlik",'[7]TABLO-1'!K4:K32873,"=Bildirimsiz",'[7]TABLO-1'!I4:I32873,"=Uzun",'[7]TABLO-1'!D4:D32873,"=LALAPAŞA")/P14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İşletmecisi",'[7]TABLO-1'!K4:K32873,"=Bildirimsiz",'[7]TABLO-1'!I4:I32873,"=Uzun",'[7]TABLO-1'!D4:D32873,"=LALAPAŞA")/P6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işletmecisi",'[7]TABLO-1'!K4:K32873,"=Bildirimsiz",'[7]TABLO-1'!I4:I32873,"=Uzun",'[7]TABLO-1'!D4:D32873,"=LALAPAŞA")/P12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İşletmecisi",'[7]TABLO-1'!K4:K32873,"=Bildirimsiz",'[7]TABLO-1'!I4:I32873,"=Uzun",'[7]TABLO-1'!D4:D32873,"=LALAPAŞA")/P7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İşletmecisi",'[7]TABLO-1'!K4:K32873,"=Bildirimsiz",'[7]TABLO-1'!I4:I32873,"=Uzun",'[7]TABLO-1'!D4:D32873,"=LALAPAŞA")/P13</f>
        <v>12.52938388692054</v>
      </c>
      <c r="I12" s="10">
        <f t="shared" si="1"/>
        <v>12.382669789884</v>
      </c>
      <c r="J12" s="12">
        <f>SUMIFS('[7]TABLO-1'!Y4:Y32873,'[7]TABLO-1'!H4:H32873,"=Dağıtım-AG",'[7]TABLO-1'!J4:J32873,"=Şebeke İşletmecisi",'[7]TABLO-1'!K4:K32873,"=Bildirimsiz",'[7]TABLO-1'!I4:I32873,"=Uzun",'[7]TABLO-1'!D4:D32873,"=LALAPAŞA")/P8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İşletmecisi",'[7]TABLO-1'!K4:K32873,"=Bildirimsiz",'[7]TABLO-1'!I4:I32873,"=Uzun",'[7]TABLO-1'!D4:D32873,"=LALAPAŞA")/P14</f>
        <v>5.4313827083328006</v>
      </c>
      <c r="L12" s="10">
        <f t="shared" si="2"/>
        <v>5.3211008259301034</v>
      </c>
      <c r="M12" s="11">
        <f t="shared" si="3"/>
        <v>7.2748524118534172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SUMIFS('[7]TABLO-1'!U4:U32873,'[7]TABLO-1'!H4:H32873,"=Dağıtım-AG",'[7]TABLO-1'!J4:J32873,"=Dışsal",'[7]TABLO-1'!K4:K32873,"=Bildirimsiz",'[7]TABLO-1'!I4:I32873,"=Uzun",'[7]TABLO-1'!D4:D32873,"=LALAPAŞA")/P6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SUMIFS('[7]TABLO-1'!V4:V32873,'[7]TABLO-1'!H4:H32873,"=Dağıtım-AG",'[7]TABLO-1'!J4:J32873,"=Dışsal",'[7]TABLO-1'!K4:K32873,"=Bildirimsiz",'[7]TABLO-1'!I4:I32873,"=Uzun",'[7]TABLO-1'!D4:D32873,"=LALAPAŞA")/P12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SUMIFS('[7]TABLO-1'!W4:W32873,'[7]TABLO-1'!H4:H32873,"=Dağıtım-AG",'[7]TABLO-1'!J4:J32873,"=Dışsal",'[7]TABLO-1'!K4:K32873,"=Bildirimsiz",'[7]TABLO-1'!I4:I32873,"=Uzun",'[7]TABLO-1'!D4:D32873,"=LALAPAŞA")/P7</f>
        <v>0</v>
      </c>
      <c r="H13" s="10">
        <f>SUMIFS('[7]TABLO-1'!X4:X32873,'[7]TABLO-1'!H4:H32873,"=Dağıtım-AG",'[7]TABLO-1'!J4:J32873,"=Dışsal",'[7]TABLO-1'!K4:K32873,"=Bildirimsiz",'[7]TABLO-1'!I4:I32873,"=Uzun",'[7]TABLO-1'!D4:D32873,"=LALAPAŞA")/P13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SUMIFS('[7]TABLO-1'!Y4:Y32873,'[7]TABLO-1'!H4:H32873,"=Dağıtım-AG",'[7]TABLO-1'!J4:J32873,"=Dışsal",'[7]TABLO-1'!K4:K32873,"=Bildirimsiz",'[7]TABLO-1'!I4:I32873,"=Uzun",'[7]TABLO-1'!D4:D32873,"=LALAPAŞA")/P8</f>
        <v>0</v>
      </c>
      <c r="K13" s="10">
        <f>SUMIFS('[7]TABLO-1'!Z4:Z32873,'[7]TABLO-1'!H4:H32873,"=Dağıtım-AG",'[7]TABLO-1'!J4:J32873,"=Dışsal",'[7]TABLO-1'!K4:K32873,"=Bildirimsiz",'[7]TABLO-1'!I4:I32873,"=Uzun",'[7]TABLO-1'!D4:D32873,"=LALAPAŞA")/P14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1266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Sebep",'[7]TABLO-1'!K4:K32873,"=Bildirimsiz",'[7]TABLO-1'!I4:I32873,"=Uzun",'[7]TABLO-1'!D4:D32873,"=LALAPAŞA")/P6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Sebep",'[7]TABLO-1'!K4:K32873,"=Bildirimsiz",'[7]TABLO-1'!I4:I32873,"=Uzun",'[7]TABLO-1'!D4:D32873,"=LALAPAŞA")/P12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Sebep",'[7]TABLO-1'!K4:K32873,"=Bildirimsiz",'[7]TABLO-1'!I4:I32873,"=Uzun",'[7]TABLO-1'!D4:D32873,"=LALAPAŞA")/P7</f>
        <v>0</v>
      </c>
      <c r="H14" s="10">
        <f>SUMIFS('[7]TABLO-1'!X4:X32873,'[7]TABLO-1'!H4:H32873,"=Dağıtım-AG",'[7]TABLO-1'!J4:J32873,"=Mücbir Sebep",'[7]TABLO-1'!K4:K32873,"=Bildirimsiz",'[7]TABLO-1'!I4:I32873,"=Uzun",'[7]TABLO-1'!D4:D32873,"=LALAPAŞA")/P13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Sebep",'[7]TABLO-1'!K4:K32873,"=Bildirimsiz",'[7]TABLO-1'!I4:I32873,"=Uzun",'[7]TABLO-1'!D4:D32873,"=LALAPAŞA")/P8</f>
        <v>0</v>
      </c>
      <c r="K14" s="10">
        <f>SUMIFS('[7]TABLO-1'!Z4:Z32873,'[7]TABLO-1'!H4:H32873,"=Dağıtım-AG",'[7]TABLO-1'!J4:J32873,"=Mücbir Sebep",'[7]TABLO-1'!K4:K32873,"=Bildirimsiz",'[7]TABLO-1'!I4:I32873,"=Uzun",'[7]TABLO-1'!D4:D32873,"=LALAPAŞA")/P14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3281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SUMIFS('[7]TABLO-1'!U4:U32873,'[7]TABLO-1'!H4:H32873,"=Dağıtım-AG",'[7]TABLO-1'!J4:J32873,"=Güvenlik",'[7]TABLO-1'!K4:K32873,"=Bildirimsiz",'[7]TABLO-1'!I4:I32873,"=Uzun",'[7]TABLO-1'!D4:D32873,"=LALAPAŞA")/P6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SUMIFS('[7]TABLO-1'!V4:V32873,'[7]TABLO-1'!H4:H32873,"=Dağıtım-AG",'[7]TABLO-1'!J4:J32873,"=Güvenlik",'[7]TABLO-1'!K4:K32873,"=Bildirimsiz",'[7]TABLO-1'!I4:I32873,"=Uzun",'[7]TABLO-1'!D4:D32873,"=LALAPAŞA")/P12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SUMIFS('[7]TABLO-1'!W4:W32873,'[7]TABLO-1'!H4:H32873,"=Dağıtım-AG",'[7]TABLO-1'!J4:J32873,"=Güvenlik",'[7]TABLO-1'!K4:K32873,"=Bildirimsiz",'[7]TABLO-1'!I4:I32873,"=Uzun",'[7]TABLO-1'!D4:D32873,"=LALAPAŞA")/P7</f>
        <v>0</v>
      </c>
      <c r="H15" s="10">
        <f>SUMIFS('[7]TABLO-1'!X4:X32873,'[7]TABLO-1'!H4:H32873,"=Dağıtım-AG",'[7]TABLO-1'!J4:J32873,"=Güvenlik",'[7]TABLO-1'!K4:K32873,"=Bildirimsiz",'[7]TABLO-1'!I4:I32873,"=Uzun",'[7]TABLO-1'!D4:D32873,"=LALAPAŞA")/P13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SUMIFS('[7]TABLO-1'!Y4:Y32873,'[7]TABLO-1'!H4:H32873,"=Dağıtım-AG",'[7]TABLO-1'!J4:J32873,"=Güvenlik",'[7]TABLO-1'!K4:K32873,"=Bildirimsiz",'[7]TABLO-1'!I4:I32873,"=Uzun",'[7]TABLO-1'!D4:D32873,"=LALAPAŞA")/P8</f>
        <v>0</v>
      </c>
      <c r="K15" s="10">
        <f>SUMIFS('[7]TABLO-1'!Z4:Z32873,'[7]TABLO-1'!H4:H32873,"=Dağıtım-AG",'[7]TABLO-1'!J4:J32873,"=Güvenlik",'[7]TABLO-1'!K4:K32873,"=Bildirimsiz",'[7]TABLO-1'!I4:I32873,"=Uzun",'[7]TABLO-1'!D4:D32873,"=LALAPAŞA")/P14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4547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0</v>
      </c>
      <c r="H16" s="10">
        <f t="shared" si="4"/>
        <v>12.538638757900401</v>
      </c>
      <c r="I16" s="10">
        <f t="shared" si="4"/>
        <v>12.391816290009297</v>
      </c>
      <c r="J16" s="10">
        <f>SUM(J6:J15)</f>
        <v>38.449999997631977</v>
      </c>
      <c r="K16" s="10">
        <f>SUM(K6:K15)</f>
        <v>42.555379455317507</v>
      </c>
      <c r="L16" s="10">
        <f>SUM(L6:L15)</f>
        <v>42.472021496785821</v>
      </c>
      <c r="M16" s="11">
        <f t="shared" si="4"/>
        <v>34.149614829424976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1281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İşletmecisi",'[7]TABLO-1'!K4:K32873,"=Bildirimli",'[7]TABLO-1'!I4:I32873,"=Uzun",'[7]TABLO-1'!D4:D32873,"=LALAPAŞA")/P6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İşletmecisi",'[7]TABLO-1'!K4:K32873,"=Bildirimli",'[7]TABLO-1'!I4:I32873,"=Uzun",'[7]TABLO-1'!D4:D32873,"=LALAPAŞA")/P12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İşletmecisi",'[7]TABLO-1'!K4:K32873,"=Bildirimli",'[7]TABLO-1'!I4:I32873,"=Uzun",'[7]TABLO-1'!D4:D32873,"=LALAPAŞA")/P7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İşletmecisi",'[7]TABLO-1'!K4:K32873,"=Bildirimli",'[7]TABLO-1'!I4:I32873,"=Uzun",'[7]TABLO-1'!D4:D32873,"=LALAPAŞA")/P13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İşletmecisi",'[7]TABLO-1'!K4:K32873,"=Bildirimli",'[7]TABLO-1'!I4:I32873,"=Uzun",'[7]TABLO-1'!D4:D32873,"=LALAPAŞA")/P8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İşletmecisi",'[7]TABLO-1'!K4:K32873,"=Bildirimli",'[7]TABLO-1'!I4:I32873,"=Uzun",'[7]TABLO-1'!D4:D32873,"=LALAPAŞA")/P14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İşletmecisi",'[7]TABLO-1'!K4:K32873,"=Bildirimli",'[7]TABLO-1'!I4:I32873,"=Uzun",'[7]TABLO-1'!D4:D32873,"=LALAPAŞA")/P6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İşletmecisi",'[7]TABLO-1'!K4:K32873,"=Bildirimli",'[7]TABLO-1'!I4:I32873,"=Uzun",'[7]TABLO-1'!D4:D32873,"=LALAPAŞA")/P12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İşletmecisi",'[7]TABLO-1'!K4:K32873,"=Bildirimli",'[7]TABLO-1'!I4:I32873,"=Uzun",'[7]TABLO-1'!D4:D32873,"=LALAPAŞA")/P7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İşletmecisi",'[7]TABLO-1'!K4:K32873,"=Bildirimli",'[7]TABLO-1'!I4:I32873,"=Uzun",'[7]TABLO-1'!D4:D32873,"=LALAPAŞA")/P13</f>
        <v>0</v>
      </c>
      <c r="I22" s="10">
        <f t="shared" ref="I22:I25" si="6">IFERROR((((G22*$P$7)+(H22*$P$13))/$P$20),"0,00")</f>
        <v>0</v>
      </c>
      <c r="J22" s="10">
        <f>SUMIFS('[7]TABLO-1'!Y4:Y32873,'[7]TABLO-1'!H4:H32873,"=Dağıtım-OG",'[7]TABLO-1'!J4:J32873,"=Şebeke İşletmecisi",'[7]TABLO-1'!K4:K32873,"=Bildirimli",'[7]TABLO-1'!I4:I32873,"=Uzun",'[7]TABLO-1'!D4:D32873,"=LALAPAŞA")/P8</f>
        <v>0</v>
      </c>
      <c r="K22" s="10">
        <f>SUMIFS('[7]TABLO-1'!Z4:Z32873,'[7]TABLO-1'!H4:H32873,"=Dağıtım-OG",'[7]TABLO-1'!J4:J32873,"=Şebeke İşletmecisi",'[7]TABLO-1'!K4:K32873,"=Bildirimli",'[7]TABLO-1'!I4:I32873,"=Uzun",'[7]TABLO-1'!D4:D32873,"=LALAPAŞA")/P14</f>
        <v>0</v>
      </c>
      <c r="L22" s="10">
        <f t="shared" ref="L22:L25" si="7">IFERROR((((J22*$P$8)+(K22*$P$14))/$P$23),"0,00")</f>
        <v>0</v>
      </c>
      <c r="M22" s="11">
        <f t="shared" ref="M22:M25" si="8">IFERROR((((F22*$P$17)+(I22*$P$20)+(L22*$P$23))/$P$26),"0,00")</f>
        <v>0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SUMIFS('[7]TABLO-1'!U4:U32873,'[7]TABLO-1'!H4:H32873,"=Dağıtım-OG",'[7]TABLO-1'!J4:J32873,"=Güvenlik",'[7]TABLO-1'!K4:K32873,"=Bildirimli",'[7]TABLO-1'!I4:I32873,"=Uzun",'[7]TABLO-1'!D4:D32873,"=LALAPAŞA")/P6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SUMIFS('[7]TABLO-1'!V4:V32873,'[7]TABLO-1'!H4:H32873,"=Dağıtım-OG",'[7]TABLO-1'!J4:J32873,"=Güvenlik",'[7]TABLO-1'!K4:K32873,"=Bildirimli",'[7]TABLO-1'!I4:I32873,"=Uzun",'[7]TABLO-1'!D4:D32873,"=LALAPAŞA")/P12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SUMIFS('[7]TABLO-1'!W4:W32873,'[7]TABLO-1'!H4:H32873,"=Dağıtım-OG",'[7]TABLO-1'!J4:J32873,"=Güvenlik",'[7]TABLO-1'!K4:K32873,"=Bildirimli",'[7]TABLO-1'!I4:I32873,"=Uzun",'[7]TABLO-1'!D4:D32873,"=LALAPAŞA")/P7</f>
        <v>0</v>
      </c>
      <c r="H23" s="10">
        <f>SUMIFS('[7]TABLO-1'!X4:X32873,'[7]TABLO-1'!H4:H32873,"=Dağıtım-OG",'[7]TABLO-1'!J4:J32873,"=Güvenlik",'[7]TABLO-1'!K4:K32873,"=Bildirimli",'[7]TABLO-1'!I4:I32873,"=Uzun",'[7]TABLO-1'!D4:D32873,"=LALAPAŞA")/P13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SUMIFS('[7]TABLO-1'!Y4:Y32873,'[7]TABLO-1'!H4:H32873,"=Dağıtım-OG",'[7]TABLO-1'!J4:J32873,"=Güvenlik",'[7]TABLO-1'!K4:K32873,"=Bildirimli",'[7]TABLO-1'!I4:I32873,"=Uzun",'[7]TABLO-1'!D4:D32873,"=LALAPAŞA")/P8</f>
        <v>0</v>
      </c>
      <c r="K23" s="10">
        <f>SUMIFS('[7]TABLO-1'!Z4:Z32873,'[7]TABLO-1'!H4:H32873,"=Dağıtım-OG",'[7]TABLO-1'!J4:J32873,"=Güvenlik",'[7]TABLO-1'!K4:K32873,"=Bildirimli",'[7]TABLO-1'!I4:I32873,"=Uzun",'[7]TABLO-1'!D4:D32873,"=LALAPAŞA")/P14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3349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İşletmecisi",'[7]TABLO-1'!K4:K32873,"=Bildirimli",'[7]TABLO-1'!I4:I32873,"=Uzun",'[7]TABLO-1'!D4:D32873,"=LALAPAŞA")/P6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İşletmecisi",'[7]TABLO-1'!K4:K32873,"=Bildirimli",'[7]TABLO-1'!I4:I32873,"=Uzun",'[7]TABLO-1'!D4:D32873,"=LALAPAŞA")/P12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İşletmecisi",'[7]TABLO-1'!K4:K32873,"=Bildirimli",'[7]TABLO-1'!I4:I32873,"=Uzun",'[7]TABLO-1'!D4:D32873,"=LALAPAŞA")/P7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İşletmecisi",'[7]TABLO-1'!K4:K32873,"=Bildirimli",'[7]TABLO-1'!I4:I32873,"=Uzun",'[7]TABLO-1'!D4:D32873,"=LALAPAŞA")/P13</f>
        <v>2.0023170089287357</v>
      </c>
      <c r="I24" s="10">
        <f t="shared" si="6"/>
        <v>1.9788706739295701</v>
      </c>
      <c r="J24" s="12">
        <f>SUMIFS('[7]TABLO-1'!Y4:Y32873,'[7]TABLO-1'!H4:H32873,"=Dağıtım-AG",'[7]TABLO-1'!J4:J32873,"=Şebeke İşletmecisi",'[7]TABLO-1'!K4:K32873,"=Bildirimli",'[7]TABLO-1'!I4:I32873,"=Uzun",'[7]TABLO-1'!D4:D32873,"=LALAPAŞA")/P8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İşletmecisi",'[7]TABLO-1'!K4:K32873,"=Bildirimli",'[7]TABLO-1'!I4:I32873,"=Uzun",'[7]TABLO-1'!D4:D32873,"=LALAPAŞA")/P14</f>
        <v>0</v>
      </c>
      <c r="L24" s="10">
        <f t="shared" si="7"/>
        <v>0</v>
      </c>
      <c r="M24" s="11">
        <f t="shared" si="8"/>
        <v>0.54750179984962832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SUMIFS('[7]TABLO-1'!U4:U32873,'[7]TABLO-1'!H4:H32873,"=Dağıtım-AG",'[7]TABLO-1'!J4:J32873,"=Güvenlik",'[7]TABLO-1'!K4:K32873,"=Bildirimli",'[7]TABLO-1'!I4:I32873,"=Uzun",'[7]TABLO-1'!D4:D32873,"=LALAPAŞA")/P6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SUMIFS('[7]TABLO-1'!V4:V32873,'[7]TABLO-1'!H4:H32873,"=Dağıtım-AG",'[7]TABLO-1'!J4:J32873,"=Güvenlik",'[7]TABLO-1'!K4:K32873,"=Bildirimli",'[7]TABLO-1'!I4:I32873,"=Uzun",'[7]TABLO-1'!D4:D32873,"=LALAPAŞA")/P12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SUMIFS('[7]TABLO-1'!W4:W32873,'[7]TABLO-1'!H4:H32873,"=Dağıtım-AG",'[7]TABLO-1'!J4:J32873,"=Güvenlik",'[7]TABLO-1'!K4:K32873,"=Bildirimli",'[7]TABLO-1'!I4:I32873,"=Uzun",'[7]TABLO-1'!D4:D32873,"=LALAPAŞA")/P7</f>
        <v>0</v>
      </c>
      <c r="H25" s="10">
        <f>SUMIFS('[7]TABLO-1'!X4:X32873,'[7]TABLO-1'!H4:H32873,"=Dağıtım-AG",'[7]TABLO-1'!J4:J32873,"=Güvenlik",'[7]TABLO-1'!K4:K32873,"=Bildirimli",'[7]TABLO-1'!I4:I32873,"=Uzun",'[7]TABLO-1'!D4:D32873,"=LALAPAŞA")/P13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SUMIFS('[7]TABLO-1'!Y4:Y32873,'[7]TABLO-1'!H4:H32873,"=Dağıtım-AG",'[7]TABLO-1'!J4:J32873,"=Güvenlik",'[7]TABLO-1'!K4:K32873,"=Bildirimli",'[7]TABLO-1'!I4:I32873,"=Uzun",'[7]TABLO-1'!D4:D32873,"=LALAPAŞA")/P8</f>
        <v>0</v>
      </c>
      <c r="K25" s="10">
        <f>SUMIFS('[7]TABLO-1'!Z4:Z32873,'[7]TABLO-1'!H4:H32873,"=Dağıtım-AG",'[7]TABLO-1'!J4:J32873,"=Güvenlik",'[7]TABLO-1'!K4:K32873,"=Bildirimli",'[7]TABLO-1'!I4:I32873,"=Uzun",'[7]TABLO-1'!D4:D32873,"=LALAPAŞA")/P14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2.0023170089287357</v>
      </c>
      <c r="I26" s="10">
        <f t="shared" si="9"/>
        <v>1.9788706739295701</v>
      </c>
      <c r="J26" s="10">
        <f t="shared" si="9"/>
        <v>0</v>
      </c>
      <c r="K26" s="10">
        <f t="shared" si="9"/>
        <v>0</v>
      </c>
      <c r="L26" s="10">
        <f t="shared" si="9"/>
        <v>0</v>
      </c>
      <c r="M26" s="11">
        <f t="shared" si="9"/>
        <v>0.54750179984962832</v>
      </c>
      <c r="O26" s="43" t="s">
        <v>22</v>
      </c>
      <c r="P26" s="44">
        <f>P20+P17+P23</f>
        <v>4630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İşletmecisi",'[7]TABLO-1'!K4:K32873,"=Bildirimsiz",'[7]TABLO-1'!I4:I32873,"=Uzun",'[7]TABLO-1'!D4:D32873,"=LALAPAŞA")/P6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İşletmecisi",'[7]TABLO-1'!K4:K32873,"=Bildirimsiz",'[7]TABLO-1'!I4:I32873,"=Uzun",'[7]TABLO-1'!D4:D32873,"=LALAPAŞA")/P12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İşletmecisi",'[7]TABLO-1'!K4:K32873,"=Bildirimsiz",'[7]TABLO-1'!I4:I32873,"=Uzun",'[7]TABLO-1'!D4:D32873,"=LALAPAŞA")/P7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İşletmecisi",'[7]TABLO-1'!K4:K32873,"=Bildirimsiz",'[7]TABLO-1'!I4:I32873,"=Uzun",'[7]TABLO-1'!D4:D32873,"=LALAPAŞA")/P13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İşletmecisi",'[7]TABLO-1'!K4:K32873,"=Bildirimsiz",'[7]TABLO-1'!I4:I32873,"=Uzun",'[7]TABLO-1'!D4:D32873,"=LALAPAŞA")/P8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İşletmecisi",'[7]TABLO-1'!K4:K32873,"=bildirimsiz",'[7]TABLO-1'!I4:I32873,"=Uzun",'[7]TABLO-1'!D4:D32873,"=LALAPAŞA")/P14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Sebep",'[7]TABLO-1'!K4:K32873,"=Bildirimsiz",'[7]TABLO-1'!I4:I32873,"=Uzun",'[7]TABLO-1'!D4:D32873,"=LALAPAŞA")/P6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Sebep",'[7]TABLO-1'!K4:K32873,"=Bildirimsiz",'[7]TABLO-1'!I4:I32873,"=Uzun",'[7]TABLO-1'!D4:D32873,"=LALAPAŞA")/P12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Sebep",'[7]TABLO-1'!K4:K32873,"=Bildirimsiz",'[7]TABLO-1'!I4:I32873,"=Uzun",'[7]TABLO-1'!D4:D32873,"=LALAPAŞA")/P7</f>
        <v>0</v>
      </c>
      <c r="H32" s="10">
        <f>SUMIFS('[7]TABLO-1'!R4:R32873,'[7]TABLO-1'!H4:H32873,"=İletim",'[7]TABLO-1'!J4:J32873,"=Mücbir Sebep",'[7]TABLO-1'!K4:K32873,"=Bildirimsiz",'[7]TABLO-1'!I4:I32873,"=Uzun",'[7]TABLO-1'!D4:D32873,"=LALAPAŞA")/P13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Sebep",'[7]TABLO-1'!K4:K32873,"=Bildirimsiz",'[7]TABLO-1'!I4:I32873,"=Uzun",'[7]TABLO-1'!D4:D32873,"=LALAPAŞA")/P8</f>
        <v>0</v>
      </c>
      <c r="K32" s="10">
        <f>SUMIFS('[7]TABLO-1'!T4:T32873,'[7]TABLO-1'!H4:H32873,"=İletim",'[7]TABLO-1'!J4:J32873,"=Mücbir Sebep",'[7]TABLO-1'!K4:K32873,"=bildirimsiz",'[7]TABLO-1'!I4:I32873,"=Uzun",'[7]TABLO-1'!D4:D32873,"=LALAPAŞA")/P14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İşletmecisi",'[7]TABLO-1'!K4:K32873,"=Bildirimsiz",'[7]TABLO-1'!I4:I32873,"=Uzun",'[7]TABLO-1'!D4:D32873,"=LALAPAŞA")/P6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İşletmecisi",'[7]TABLO-1'!K4:K32873,"=Bildirimsiz",'[7]TABLO-1'!I4:I32873,"=Uzun",'[7]TABLO-1'!D4:D32873,"=LALAPAŞA")/P12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İşletmecisi",'[7]TABLO-1'!K4:K32873,"=Bildirimsiz",'[7]TABLO-1'!I4:I32873,"=Uzun",'[7]TABLO-1'!D4:D32873,"=LALAPAŞA")/P7</f>
        <v>0</v>
      </c>
      <c r="H33" s="10">
        <f>SUMIFS('[7]TABLO-1'!R4:R32873,'[7]TABLO-1'!H4:H32873,"=Dağıtım-OG",'[7]TABLO-1'!J4:J32873,"=Şebeke İşletmecisi",'[7]TABLO-1'!K4:K32873,"=Bildirimsiz",'[7]TABLO-1'!I4:I32873,"=Uzun",'[7]TABLO-1'!D4:D32873,"=LALAPAŞA")/P13</f>
        <v>1.5797788309636651E-3</v>
      </c>
      <c r="I33" s="10">
        <f t="shared" si="11"/>
        <v>1.56128024980484E-3</v>
      </c>
      <c r="J33" s="10">
        <f>SUMIFS('[7]TABLO-1'!S4:S32873,'[7]TABLO-1'!H4:H32873,"=Dağıtım-OG",'[7]TABLO-1'!J4:J32873,"=Şebeke İşletmecisi",'[7]TABLO-1'!K4:K32873,"=Bildirimsiz",'[7]TABLO-1'!I4:I32873,"=Uzun",'[7]TABLO-1'!D4:D32873,"=LALAPAŞA")/P8</f>
        <v>1.8970588235294117</v>
      </c>
      <c r="K33" s="10">
        <f>SUMIFS('[7]TABLO-1'!T4:T32873,'[7]TABLO-1'!H4:H32873,"=Dağıtım-OG",'[7]TABLO-1'!J4:J32873,"=Şebeke İşletmecisi",'[7]TABLO-1'!K4:K32873,"=bildirimsiz",'[7]TABLO-1'!I4:I32873,"=Uzun",'[7]TABLO-1'!D4:D32873,"=LALAPAŞA")/P14</f>
        <v>1.4318805242304176</v>
      </c>
      <c r="L33" s="10">
        <f t="shared" si="12"/>
        <v>1.4413257688862346</v>
      </c>
      <c r="M33" s="11">
        <f t="shared" si="13"/>
        <v>1.0429805615550756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SUMIFS('[7]TABLO-1'!O4:O32873,'[7]TABLO-1'!H4:H32873,"=Dağıtım-OG",'[7]TABLO-1'!J4:J32873,"=Dışsal",'[7]TABLO-1'!K4:K32873,"=Bildirimsiz",'[7]TABLO-1'!I4:I32873,"=Uzun",'[7]TABLO-1'!D4:D32873,"=LALAPAŞA")/P6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SUMIFS('[7]TABLO-1'!P4:P32873,'[7]TABLO-1'!H4:H32873,"=Dağıtım-OG",'[7]TABLO-1'!J4:J32873,"=Dışsal",'[7]TABLO-1'!K4:K32873,"=Bildirimsiz",'[7]TABLO-1'!I4:I32873,"=Uzun",'[7]TABLO-1'!D4:D32873,"=LALAPAŞA")/P12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SUMIFS('[7]TABLO-1'!Q4:Q32873,'[7]TABLO-1'!H4:H32873,"=Dağıtım-OG",'[7]TABLO-1'!J4:J32873,"=Dışsal",'[7]TABLO-1'!K4:K32873,"=Bildirimsiz",'[7]TABLO-1'!I4:I32873,"=Uzun",'[7]TABLO-1'!D4:D32873,"=LALAPAŞA")/P7</f>
        <v>0</v>
      </c>
      <c r="H34" s="10">
        <f>SUMIFS('[7]TABLO-1'!R4:R32873,'[7]TABLO-1'!H4:H32873,"=Dağıtım-OG",'[7]TABLO-1'!J4:J32873,"=Dışsal",'[7]TABLO-1'!K4:K32873,"=Bildirimsiz",'[7]TABLO-1'!I4:I32873,"=Uzun",'[7]TABLO-1'!D4:D32873,"=LALAPAŞA")/P13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SUMIFS('[7]TABLO-1'!S4:S32873,'[7]TABLO-1'!H4:H32873,"=Dağıtım-OG",'[7]TABLO-1'!J4:J32873,"=Dışsal",'[7]TABLO-1'!K4:K32873,"=Bildirimsiz",'[7]TABLO-1'!I4:I32873,"=Uzun",'[7]TABLO-1'!D4:D32873,"=LALAPAŞA")/P8</f>
        <v>0</v>
      </c>
      <c r="K34" s="10">
        <f>SUMIFS('[7]TABLO-1'!T4:T32873,'[7]TABLO-1'!H4:H32873,"=Dağıtım-OG",'[7]TABLO-1'!J4:J32873,"=Dışsal",'[7]TABLO-1'!K4:K32873,"=bildirimsiz",'[7]TABLO-1'!I4:I32873,"=Uzun",'[7]TABLO-1'!D4:D32873,"=LALAPAŞA")/P14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Sebep",'[7]TABLO-1'!K4:K32873,"=Bildirimsiz",'[7]TABLO-1'!I4:I32873,"=Uzun",'[7]TABLO-1'!D4:D32873,"=LALAPAŞA")/P6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Sebep",'[7]TABLO-1'!K4:K32873,"=Bildirimsiz",'[7]TABLO-1'!I4:I32873,"=Uzun",'[7]TABLO-1'!D4:D32873,"=LALAPAŞA")/P12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Sebep",'[7]TABLO-1'!K4:K32873,"=Bildirimsiz",'[7]TABLO-1'!I4:I32873,"=Uzun",'[7]TABLO-1'!D4:D32873,"=LALAPAŞA")/P7</f>
        <v>0</v>
      </c>
      <c r="H35" s="10">
        <f>SUMIFS('[7]TABLO-1'!R4:R32873,'[7]TABLO-1'!H4:H32873,"=Dağıtım-OG",'[7]TABLO-1'!J4:J32873,"=Mücbir Sebep",'[7]TABLO-1'!K4:K32873,"=Bildirimsiz",'[7]TABLO-1'!I4:I32873,"=Uzun",'[7]TABLO-1'!D4:D32873,"=LALAPAŞA")/P13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Sebep",'[7]TABLO-1'!K4:K32873,"=Bildirimsiz",'[7]TABLO-1'!I4:I32873,"=Uzun",'[7]TABLO-1'!D4:D32873,"=LALAPAŞA")/P8</f>
        <v>0</v>
      </c>
      <c r="K35" s="10">
        <f>SUMIFS('[7]TABLO-1'!T4:T32873,'[7]TABLO-1'!H4:H32873,"=Dağıtım-OG",'[7]TABLO-1'!J4:J32873,"=Mücbir Sebep",'[7]TABLO-1'!K4:K32873,"=bildirimsiz",'[7]TABLO-1'!I4:I32873,"=Uzun",'[7]TABLO-1'!D4:D32873,"=LALAPAŞA")/P14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SUMIFS('[7]TABLO-1'!O4:O32873,'[7]TABLO-1'!H4:H32873,"=Dağıtım-OG",'[7]TABLO-1'!J4:J32873,"=Güvenlik",'[7]TABLO-1'!K4:K32873,"=Bildirimsiz",'[7]TABLO-1'!I4:I32873,"=Uzun",'[7]TABLO-1'!D4:D32873,"=LALAPAŞA")/P6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SUMIFS('[7]TABLO-1'!P4:P32873,'[7]TABLO-1'!H4:H32873,"=Dağıtım-OG",'[7]TABLO-1'!J4:J32873,"=Güvenlik",'[7]TABLO-1'!K4:K32873,"=Bildirimsiz",'[7]TABLO-1'!I4:I32873,"=Uzun",'[7]TABLO-1'!D4:D32873,"=LALAPAŞA")/P12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SUMIFS('[7]TABLO-1'!Q4:Q32873,'[7]TABLO-1'!H4:H32873,"=Dağıtım-OG",'[7]TABLO-1'!J4:J32873,"=Güvenlik",'[7]TABLO-1'!K4:K32873,"=Bildirimsiz",'[7]TABLO-1'!I4:I32873,"=Uzun",'[7]TABLO-1'!D4:D32873,"=LALAPAŞA")/P7</f>
        <v>0</v>
      </c>
      <c r="H36" s="10">
        <f>SUMIFS('[7]TABLO-1'!R4:R32873,'[7]TABLO-1'!H4:H32873,"=Dağıtım-OG",'[7]TABLO-1'!J4:J32873,"=Güvenlik",'[7]TABLO-1'!K4:K32873,"=Bildirimsiz",'[7]TABLO-1'!I4:I32873,"=Uzun",'[7]TABLO-1'!D4:D32873,"=LALAPAŞA")/P13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SUMIFS('[7]TABLO-1'!S4:S32873,'[7]TABLO-1'!H4:H32873,"=Dağıtım-OG",'[7]TABLO-1'!J4:J32873,"=Güvenlik",'[7]TABLO-1'!K4:K32873,"=Bildirimsiz",'[7]TABLO-1'!I4:I32873,"=Uzun",'[7]TABLO-1'!D4:D32873,"=LALAPAŞA")/P8</f>
        <v>0</v>
      </c>
      <c r="K36" s="10">
        <f>SUMIFS('[7]TABLO-1'!T4:T32873,'[7]TABLO-1'!H4:H32873,"=Dağıtım-OG",'[7]TABLO-1'!J4:J32873,"=Güvenlik",'[7]TABLO-1'!K4:K32873,"=bildirimsiz",'[7]TABLO-1'!I4:I32873,"=Uzun",'[7]TABLO-1'!D4:D32873,"=LALAPAŞA")/P14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İşletmecisi",'[7]TABLO-1'!K4:K32873,"=Bildirimsiz",'[7]TABLO-1'!I4:I32873,"=Uzun",'[7]TABLO-1'!D4:D32873,"=LALAPAŞA")/P6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İşletmecisi",'[7]TABLO-1'!K4:K32873,"=Bildirimsiz",'[7]TABLO-1'!I4:I32873,"=Uzun",'[7]TABLO-1'!D4:D32873,"=LALAPAŞA")/P12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İşletmecisi",'[7]TABLO-1'!K4:K32873,"=Bildirimsiz",'[7]TABLO-1'!I4:I32873,"=Uzun",'[7]TABLO-1'!D4:D32873,"=LALAPAŞA")/P7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İşletmecisi",'[7]TABLO-1'!K4:K32873,"=Bildirimsiz",'[7]TABLO-1'!I4:I32873,"=Uzun",'[7]TABLO-1'!D4:D32873,"=LALAPAŞA")/P13</f>
        <v>0.29778830963665087</v>
      </c>
      <c r="I37" s="10">
        <f t="shared" si="11"/>
        <v>0.29430132708821233</v>
      </c>
      <c r="J37" s="12">
        <f>SUMIFS('[7]TABLO-1'!S4:S32873,'[7]TABLO-1'!H4:H32873,"=Dağıtım-AG",'[7]TABLO-1'!J4:J32873,"=Şebeke İşletmecisi",'[7]TABLO-1'!K4:K32873,"=Bildirimsiz",'[7]TABLO-1'!I4:I32873,"=Uzun",'[7]TABLO-1'!D4:D32873,"=LALAPAŞA")/P8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İşletmecisi",'[7]TABLO-1'!K4:K32873,"=bildirimsiz",'[7]TABLO-1'!I4:I32873,"=Uzun",'[7]TABLO-1'!D4:D32873,"=LALAPAŞA")/P14</f>
        <v>0.10606522401706797</v>
      </c>
      <c r="L37" s="10">
        <f t="shared" si="12"/>
        <v>0.10391161540758435</v>
      </c>
      <c r="M37" s="11">
        <f t="shared" si="13"/>
        <v>0.15658747300215983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SUMIFS('[7]TABLO-1'!O4:O32873,'[7]TABLO-1'!H4:H32873,"=Dağıtım-AG",'[7]TABLO-1'!J4:J32873,"=Dışsal",'[7]TABLO-1'!K4:K32873,"=Bildirimsiz",'[7]TABLO-1'!I4:I32873,"=Uzun",'[7]TABLO-1'!D4:D32873,"=LALAPAŞA")/P6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SUMIFS('[7]TABLO-1'!P4:P32873,'[7]TABLO-1'!H4:H32873,"=Dağıtım-AG",'[7]TABLO-1'!J4:J32873,"=Dışsal",'[7]TABLO-1'!K4:K32873,"=Bildirimsiz",'[7]TABLO-1'!I4:I32873,"=Uzun",'[7]TABLO-1'!D4:D32873,"=LALAPAŞA")/P12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SUMIFS('[7]TABLO-1'!Q4:Q32873,'[7]TABLO-1'!H4:H32873,"=Dağıtım-AG",'[7]TABLO-1'!J4:J32873,"=Dışsal",'[7]TABLO-1'!K4:K32873,"=Bildirimsiz",'[7]TABLO-1'!I4:I32873,"=Uzun",'[7]TABLO-1'!D4:D32873,"=LALAPAŞA")/P7</f>
        <v>0</v>
      </c>
      <c r="H38" s="10">
        <f>SUMIFS('[7]TABLO-1'!R4:R32873,'[7]TABLO-1'!H4:H32873,"=Dağıtım-AG",'[7]TABLO-1'!J4:J32873,"=Dışsal",'[7]TABLO-1'!K4:K32873,"=Bildirimsiz",'[7]TABLO-1'!I4:I32873,"=Uzun",'[7]TABLO-1'!D4:D32873,"=LALAPAŞA")/P13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SUMIFS('[7]TABLO-1'!S4:S32873,'[7]TABLO-1'!H4:H32873,"=Dağıtım-AG",'[7]TABLO-1'!J4:J32873,"=Dışsal",'[7]TABLO-1'!K4:K32873,"=Bildirimsiz",'[7]TABLO-1'!I4:I32873,"=Uzun",'[7]TABLO-1'!D4:D32873,"=LALAPAŞA")/P8</f>
        <v>0</v>
      </c>
      <c r="K38" s="10">
        <f>SUMIFS('[7]TABLO-1'!T4:T32873,'[7]TABLO-1'!H4:H32873,"=Dağıtım-AG",'[7]TABLO-1'!J4:J32873,"=Dışsal",'[7]TABLO-1'!K4:K32873,"=bildirimsiz",'[7]TABLO-1'!I4:I32873,"=Uzun",'[7]TABLO-1'!D4:D32873,"=LALAPAŞA")/P14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Sebep",'[7]TABLO-1'!K4:K32873,"=Bildirimsiz",'[7]TABLO-1'!I4:I32873,"=Uzun",'[7]TABLO-1'!D4:D32873,"=LALAPAŞA")/P6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Sebep",'[7]TABLO-1'!K4:K32873,"=Bildirimsiz",'[7]TABLO-1'!I4:I32873,"=Uzun",'[7]TABLO-1'!D4:D32873,"=LALAPAŞA")/P12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Sebep",'[7]TABLO-1'!K4:K32873,"=Bildirimsiz",'[7]TABLO-1'!I4:I32873,"=Uzun",'[7]TABLO-1'!D4:D32873,"=LALAPAŞA")/P7</f>
        <v>0</v>
      </c>
      <c r="H39" s="10">
        <f>SUMIFS('[7]TABLO-1'!R4:R32873,'[7]TABLO-1'!H4:H32873,"=Dağıtım-AG",'[7]TABLO-1'!J4:J32873,"=Mücbir Sebep",'[7]TABLO-1'!K4:K32873,"=Bildirimsiz",'[7]TABLO-1'!I4:I32873,"=Uzun",'[7]TABLO-1'!D4:D32873,"=LALAPAŞA")/P13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Sebep",'[7]TABLO-1'!K4:K32873,"=Bildirimsiz",'[7]TABLO-1'!I4:I32873,"=Uzun",'[7]TABLO-1'!D4:D32873,"=LALAPAŞA")/P8</f>
        <v>0</v>
      </c>
      <c r="K39" s="10">
        <f>SUMIFS('[7]TABLO-1'!T4:T32873,'[7]TABLO-1'!H4:H32873,"=Dağıtım-AG",'[7]TABLO-1'!J4:J32873,"=Mücbir Sebep",'[7]TABLO-1'!K4:K32873,"=bildirimsiz",'[7]TABLO-1'!I4:I32873,"=Uzun",'[7]TABLO-1'!D4:D32873,"=LALAPAŞA")/P14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SUMIFS('[7]TABLO-1'!O4:O32873,'[7]TABLO-1'!H4:H32873,"=Dağıtım-AG",'[7]TABLO-1'!J4:J32873,"=Güvenlik",'[7]TABLO-1'!K4:K32873,"=Bildirimsiz",'[7]TABLO-1'!I4:I32873,"=Uzun",'[7]TABLO-1'!D4:D32873,"=LALAPAŞA")/P6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SUMIFS('[7]TABLO-1'!P4:P32873,'[7]TABLO-1'!H4:H32873,"=Dağıtım-AG",'[7]TABLO-1'!J4:J32873,"=Güvenlik",'[7]TABLO-1'!K4:K32873,"=Bildirimsiz",'[7]TABLO-1'!I4:I32873,"=Uzun",'[7]TABLO-1'!D4:D32873,"=LALAPAŞA")/P12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SUMIFS('[7]TABLO-1'!Q4:Q32873,'[7]TABLO-1'!H4:H32873,"=Dağıtım-AG",'[7]TABLO-1'!J4:J32873,"=Güvenlik",'[7]TABLO-1'!K4:K32873,"=Bildirimsiz",'[7]TABLO-1'!I4:I32873,"=Uzun",'[7]TABLO-1'!D4:D32873,"=LALAPAŞA")/P7</f>
        <v>0</v>
      </c>
      <c r="H40" s="10">
        <f>SUMIFS('[7]TABLO-1'!R4:R32873,'[7]TABLO-1'!H4:H32873,"=Dağıtım-AG",'[7]TABLO-1'!J4:J32873,"=Güvenlik",'[7]TABLO-1'!K4:K32873,"=Bildirimsiz",'[7]TABLO-1'!I4:I32873,"=Uzun",'[7]TABLO-1'!D4:D32873,"=LALAPAŞA")/P13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SUMIFS('[7]TABLO-1'!S4:S32873,'[7]TABLO-1'!H4:H32873,"=Dağıtım-AG",'[7]TABLO-1'!J4:J32873,"=Güvenlik",'[7]TABLO-1'!K4:K32873,"=Bildirimsiz",'[7]TABLO-1'!I4:I32873,"=Uzun",'[7]TABLO-1'!D4:D32873,"=LALAPAŞA")/P8</f>
        <v>0</v>
      </c>
      <c r="K40" s="10">
        <f>SUMIFS('[7]TABLO-1'!T4:T32873,'[7]TABLO-1'!H4:H32873,"=Dağıtım-AG",'[7]TABLO-1'!J4:J32873,"=Güvenlik",'[7]TABLO-1'!K4:K32873,"=bildirimsiz",'[7]TABLO-1'!I4:I32873,"=Uzun",'[7]TABLO-1'!D4:D32873,"=LALAPAŞA")/P14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</v>
      </c>
      <c r="H41" s="10">
        <f t="shared" si="14"/>
        <v>0.29936808846761453</v>
      </c>
      <c r="I41" s="10">
        <f t="shared" si="14"/>
        <v>0.29586260733801717</v>
      </c>
      <c r="J41" s="10">
        <f t="shared" si="14"/>
        <v>1.8970588235294117</v>
      </c>
      <c r="K41" s="10">
        <f t="shared" si="14"/>
        <v>1.5379457482474854</v>
      </c>
      <c r="L41" s="10">
        <f t="shared" si="14"/>
        <v>1.545237384293819</v>
      </c>
      <c r="M41" s="10">
        <f t="shared" si="14"/>
        <v>1.1995680345572355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İşletmecisi",'[7]TABLO-1'!K4:K32873,"=Bildirimli",'[7]TABLO-1'!I4:I32873,"=Uzun",'[7]TABLO-1'!D4:D32873,"=LALAPAŞA")/P6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İşletmecisi",'[7]TABLO-1'!K4:K32873,"=Bildirimli",'[7]TABLO-1'!I4:I32873,"=Uzun",'[7]TABLO-1'!D4:D32873,"=LALAPAŞA")/P12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İşletmecisi",'[7]TABLO-1'!K4:K32873,"=Bildirimli",'[7]TABLO-1'!I4:I32873,"=Uzun",'[7]TABLO-1'!D4:D32873,"=LALAPAŞA")/P7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İşletmecisi",'[7]TABLO-1'!K4:K32873,"=Bildirimli",'[7]TABLO-1'!I4:I32873,"=Uzun",'[7]TABLO-1'!D4:D32873,"=LALAPAŞA")/P13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İşletmecisi",'[7]TABLO-1'!K4:K32873,"=Bildirimli",'[7]TABLO-1'!I4:I32873,"=Uzun",'[7]TABLO-1'!D4:D32873,"=LALAPAŞA")/P8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İşletmecisi",'[7]TABLO-1'!K4:K32873,"=bildirimli",'[7]TABLO-1'!I4:I32873,"=Uzun",'[7]TABLO-1'!D4:D32873,"=LALAPAŞA")/P14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İşletmecisi",'[7]TABLO-1'!K4:K32873,"=Bildirimli",'[7]TABLO-1'!I4:I32873,"=Uzun",'[7]TABLO-1'!D4:D32873,"=LALAPAŞA")/P6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İşletmecisi",'[7]TABLO-1'!K4:K32873,"=Bildirimli",'[7]TABLO-1'!I4:I32873,"=Uzun",'[7]TABLO-1'!D4:D32873,"=LALAPAŞA")/P12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İşletmecisi",'[7]TABLO-1'!K4:K32873,"=Bildirimli",'[7]TABLO-1'!I4:I32873,"=Uzun",'[7]TABLO-1'!D4:D32873,"=LALAPAŞA")/P7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İşletmecisi",'[7]TABLO-1'!K4:K32873,"=Bildirimli",'[7]TABLO-1'!I4:I32873,"=Uzun",'[7]TABLO-1'!D4:D32873,"=LALAPAŞA")/P13</f>
        <v>0</v>
      </c>
      <c r="I47" s="10">
        <f t="shared" ref="I47:I50" si="16">IFERROR((((G47*$P$7)+(H47*$P$13))/$P$20),"0,00")</f>
        <v>0</v>
      </c>
      <c r="J47" s="10">
        <f>SUMIFS('[7]TABLO-1'!S4:S32873,'[7]TABLO-1'!H4:H32873,"=Dağıtım-OG",'[7]TABLO-1'!J4:J32873,"=Şebeke İşletmecisi",'[7]TABLO-1'!K4:K32873,"=Bildirimli",'[7]TABLO-1'!I4:I32873,"=Uzun",'[7]TABLO-1'!D4:D32873,"=LALAPAŞA")/P8</f>
        <v>0</v>
      </c>
      <c r="K47" s="10">
        <f>SUMIFS('[7]TABLO-1'!T4:T32873,'[7]TABLO-1'!H4:H32873,"=Dağıtım-OG",'[7]TABLO-1'!J4:J32873,"=Şebeke İşletmecisi",'[7]TABLO-1'!K4:K32873,"=bildirimli",'[7]TABLO-1'!I4:I32873,"=Uzun",'[7]TABLO-1'!D4:D32873,"=LALAPAŞA")/P14</f>
        <v>0</v>
      </c>
      <c r="L47" s="10">
        <f t="shared" ref="L47:L50" si="17">IFERROR((((J47*$P$8)+(K47*$P$14))/$P$23),"0,00")</f>
        <v>0</v>
      </c>
      <c r="M47" s="11">
        <f t="shared" ref="M47:M50" si="18">IFERROR((((F47*$P$17)+(I47*$P$20)+(L47*$P$23))/$P$26),"0,00")</f>
        <v>0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SUMIFS('[7]TABLO-1'!O4:O32873,'[7]TABLO-1'!H4:H32873,"=Dağıtım-OG",'[7]TABLO-1'!J4:J32873,"=Güvenlik",'[7]TABLO-1'!K4:K32873,"=Bildirimli",'[7]TABLO-1'!I4:I32873,"=Uzun",'[7]TABLO-1'!D4:D32873,"=LALAPAŞA")/P6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SUMIFS('[7]TABLO-1'!P4:P32873,'[7]TABLO-1'!H4:H32873,"=Dağıtım-OG",'[7]TABLO-1'!J4:J32873,"=Güvenlik",'[7]TABLO-1'!K4:K32873,"=Bildirimli",'[7]TABLO-1'!I4:I32873,"=Uzun",'[7]TABLO-1'!D4:D32873,"=LALAPAŞA")/P12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SUMIFS('[7]TABLO-1'!Q4:Q32873,'[7]TABLO-1'!H4:H32873,"=Dağıtım-OG",'[7]TABLO-1'!J4:J32873,"=Güvenlik",'[7]TABLO-1'!K4:K32873,"=Bildirimli",'[7]TABLO-1'!I4:I32873,"=Uzun",'[7]TABLO-1'!D4:D32873,"=LALAPAŞA")/P7</f>
        <v>0</v>
      </c>
      <c r="H48" s="10">
        <f>SUMIFS('[7]TABLO-1'!R4:R32873,'[7]TABLO-1'!H4:H32873,"=Dağıtım-OG",'[7]TABLO-1'!J4:J32873,"=Güvenlik",'[7]TABLO-1'!K4:K32873,"=Bildirimli",'[7]TABLO-1'!I4:I32873,"=Uzun",'[7]TABLO-1'!D4:D32873,"=LALAPAŞA")/P13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SUMIFS('[7]TABLO-1'!S4:S32873,'[7]TABLO-1'!H4:H32873,"=Dağıtım-OG",'[7]TABLO-1'!J4:J32873,"=Güvenlik",'[7]TABLO-1'!K4:K32873,"=Bildirimli",'[7]TABLO-1'!I4:I32873,"=Uzun",'[7]TABLO-1'!D4:D32873,"=LALAPAŞA")/P8</f>
        <v>0</v>
      </c>
      <c r="K48" s="10">
        <f>SUMIFS('[7]TABLO-1'!T4:T32873,'[7]TABLO-1'!H4:H32873,"=Dağıtım-OG",'[7]TABLO-1'!J4:J32873,"=Güvenlik",'[7]TABLO-1'!K4:K32873,"=bildirimli",'[7]TABLO-1'!I4:I32873,"=Uzun",'[7]TABLO-1'!D4:D32873,"=LALAPAŞA")/P14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İşletmecisi",'[7]TABLO-1'!K4:K32873,"=Bildirimli",'[7]TABLO-1'!I4:I32873,"=Uzun",'[7]TABLO-1'!D4:D32873,"=LALAPAŞA")/P6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İşletmecisi",'[7]TABLO-1'!K4:K32873,"=Bildirimli",'[7]TABLO-1'!I4:I32873,"=Uzun",'[7]TABLO-1'!D4:D32873,"=LALAPAŞA")/P12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İşletmecisi",'[7]TABLO-1'!K4:K32873,"=Bildirimli",'[7]TABLO-1'!I4:I32873,"=Uzun",'[7]TABLO-1'!D4:D32873,"=LALAPAŞA")/P7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İşletmecisi",'[7]TABLO-1'!K4:K32873,"=Bildirimli",'[7]TABLO-1'!I4:I32873,"=Uzun",'[7]TABLO-1'!D4:D32873,"=LALAPAŞA")/P13</f>
        <v>1.1058451816745656E-2</v>
      </c>
      <c r="I49" s="10">
        <f t="shared" si="16"/>
        <v>1.092896174863388E-2</v>
      </c>
      <c r="J49" s="12">
        <f>SUMIFS('[7]TABLO-1'!S4:S32873,'[7]TABLO-1'!H4:H32873,"=Dağıtım-AG",'[7]TABLO-1'!J4:J32873,"=Şebeke İşletmecisi",'[7]TABLO-1'!K4:K32873,"=Bildirimli",'[7]TABLO-1'!I4:I32873,"=Uzun",'[7]TABLO-1'!D4:D32873,"=LALAPAŞA")/P8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İşletmecisi",'[7]TABLO-1'!K4:K32873,"=bildirimli",'[7]TABLO-1'!I4:I32873,"=Uzun",'[7]TABLO-1'!D4:D32873,"=LALAPAŞA")/P14</f>
        <v>0</v>
      </c>
      <c r="L49" s="10">
        <f t="shared" si="17"/>
        <v>0</v>
      </c>
      <c r="M49" s="11">
        <f t="shared" si="18"/>
        <v>3.0237580993520518E-3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SUMIFS('[7]TABLO-1'!O4:O32873,'[7]TABLO-1'!H4:H32873,"=Dağıtım-AG",'[7]TABLO-1'!J4:J32873,"=Güvenlik",'[7]TABLO-1'!K4:K32873,"=Bildirimli",'[7]TABLO-1'!I4:I32873,"=Uzun",'[7]TABLO-1'!D4:D32873,"=LALAPAŞA")/P6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SUMIFS('[7]TABLO-1'!P4:P32873,'[7]TABLO-1'!H4:H32873,"=Dağıtım-AG",'[7]TABLO-1'!J4:J32873,"=Güvenlik",'[7]TABLO-1'!K4:K32873,"=Bildirimli",'[7]TABLO-1'!I4:I32873,"=Uzun",'[7]TABLO-1'!D4:D32873,"=LALAPAŞA")/P12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SUMIFS('[7]TABLO-1'!Q4:Q32873,'[7]TABLO-1'!H4:H32873,"=Dağıtım-AG",'[7]TABLO-1'!J4:J32873,"=Güvenlik",'[7]TABLO-1'!K4:K32873,"=Bildirimli",'[7]TABLO-1'!I4:I32873,"=Uzun",'[7]TABLO-1'!D4:D32873,"=LALAPAŞA")/P7</f>
        <v>0</v>
      </c>
      <c r="H50" s="10">
        <f>SUMIFS('[7]TABLO-1'!R4:R32873,'[7]TABLO-1'!H4:H32873,"=Dağıtım-AG",'[7]TABLO-1'!J4:J32873,"=Güvenlik",'[7]TABLO-1'!K4:K32873,"=Bildirimli",'[7]TABLO-1'!I4:I32873,"=Uzun",'[7]TABLO-1'!D4:D32873,"=LALAPAŞA")/P13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SUMIFS('[7]TABLO-1'!S4:S32873,'[7]TABLO-1'!H4:H32873,"=Dağıtım-AG",'[7]TABLO-1'!J4:J32873,"=Güvenlik",'[7]TABLO-1'!K4:K32873,"=Bildirimli",'[7]TABLO-1'!I4:I32873,"=Uzun",'[7]TABLO-1'!D4:D32873,"=LALAPAŞA")/P8</f>
        <v>0</v>
      </c>
      <c r="K50" s="10">
        <f>SUMIFS('[7]TABLO-1'!T4:T32873,'[7]TABLO-1'!H4:H32873,"=Dağıtım-AG",'[7]TABLO-1'!J4:J32873,"=Güvenlik",'[7]TABLO-1'!K4:K32873,"=bildirimli",'[7]TABLO-1'!I4:I32873,"=Uzun",'[7]TABLO-1'!D4:D32873,"=LALAPAŞA")/P14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1.1058451816745656E-2</v>
      </c>
      <c r="I51" s="10">
        <f t="shared" si="19"/>
        <v>1.092896174863388E-2</v>
      </c>
      <c r="J51" s="10">
        <f t="shared" si="19"/>
        <v>0</v>
      </c>
      <c r="K51" s="10">
        <f t="shared" si="19"/>
        <v>0</v>
      </c>
      <c r="L51" s="10">
        <f t="shared" si="19"/>
        <v>0</v>
      </c>
      <c r="M51" s="10">
        <f t="shared" si="19"/>
        <v>3.0237580993520518E-3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SUMIFS('[7]TABLO-1'!O1:O32873,'[7]TABLO-1'!H1:H32873,"=İletim",'[7]TABLO-1'!K1:K32873,"=Bildirimsiz",'[7]TABLO-1'!I1:I32873,"=Kısa",'[7]TABLO-1'!D1:D32873,"=LALAPAŞA")/P6</f>
        <v>#DIV/0!</v>
      </c>
      <c r="D56" s="10" t="e">
        <f>SUMIFS('[7]TABLO-1'!P1:P32873,'[7]TABLO-1'!H1:H32873,"=İletim",'[7]TABLO-1'!K1:K32873,"=Bildirimsiz",'[7]TABLO-1'!I1:I32873,"=Kısa",'[7]TABLO-1'!D1:D32873,"=LALAPAŞA")/P12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SUMIFS('[7]TABLO-1'!Q1:Q32873,'[7]TABLO-1'!H1:H32873,"=İletim",'[7]TABLO-1'!K1:K32873,"=Bildirimsiz",'[7]TABLO-1'!I1:I32873,"=Kısa",'[7]TABLO-1'!D1:D32873,"=LALAPAŞA")/P7</f>
        <v>0</v>
      </c>
      <c r="G56" s="10">
        <f>SUMIFS('[7]TABLO-1'!R1:R32873,'[7]TABLO-1'!H1:H32873,"=İletim",'[7]TABLO-1'!K1:K32873,"=Bildirimsiz",'[7]TABLO-1'!I1:I32873,"=Kısa",'[7]TABLO-1'!D1:D32873,"=LALAPAŞA")/P13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SUMIFS('[7]TABLO-1'!S1:S32873,'[7]TABLO-1'!H1:H32873,"=İletim",'[7]TABLO-1'!K1:K32873,"=Bildirimsiz",'[7]TABLO-1'!I1:I32873,"=Kısa",'[7]TABLO-1'!D1:D32873,"=LALAPAŞA")/P8</f>
        <v>0</v>
      </c>
      <c r="J56" s="10">
        <f>SUMIFS('[7]TABLO-1'!T1:T32873,'[7]TABLO-1'!H1:H32873,"=İletim",'[7]TABLO-1'!K1:K32873,"=Bildirimsiz",'[7]TABLO-1'!I1:I32873,"=Kısa",'[7]TABLO-1'!D1:D32873,"=LALAPAŞA")/P14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SUMIFS('[7]TABLO-1'!O4:O32873,'[7]TABLO-1'!H4:H32873,"=Dağıtım-OG",'[7]TABLO-1'!K4:K32873,"=Bildirimsiz",'[7]TABLO-1'!I4:I32873,"=Kısa",'[7]TABLO-1'!D4:D32873,"=LALAPAŞA")/P6</f>
        <v>#DIV/0!</v>
      </c>
      <c r="D57" s="10" t="e">
        <f>SUMIFS('[7]TABLO-1'!P4:P32873,'[7]TABLO-1'!H4:H32873,"=Dağıtım-OG",'[7]TABLO-1'!K4:K32873,"=Bildirimsiz",'[7]TABLO-1'!I4:I32873,"=Kısa",'[7]TABLO-1'!D4:D32873,"=LALAPAŞA")/P12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SUMIFS('[7]TABLO-1'!Q4:Q32873,'[7]TABLO-1'!H4:H32873,"=Dağıtım-OG",'[7]TABLO-1'!K4:K32873,"=Bildirimsiz",'[7]TABLO-1'!I4:I32873,"=Kısa",'[7]TABLO-1'!D4:D32873,"=LALAPAŞA")/P7</f>
        <v>0</v>
      </c>
      <c r="G57" s="10">
        <f>SUMIFS('[7]TABLO-1'!R4:R32873,'[7]TABLO-1'!H4:H32873,"=Dağıtım-OG",'[7]TABLO-1'!K4:K32873,"=Bildirimsiz",'[7]TABLO-1'!I4:I32873,"=Kısa",'[7]TABLO-1'!D4:D32873,"=LALAPAŞA")/P13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SUMIFS('[7]TABLO-1'!S4:S32873,'[7]TABLO-1'!H4:H32873,"=Dağıtım-OG",'[7]TABLO-1'!K4:K32873,"=Bildirimsiz",'[7]TABLO-1'!I4:I32873,"=Kısa",'[7]TABLO-1'!D4:D32873,"=LALAPAŞA")/P8</f>
        <v>0</v>
      </c>
      <c r="J57" s="10">
        <f>SUMIFS('[7]TABLO-1'!T4:T32873,'[7]TABLO-1'!H4:H32873,"=Dağıtım-OG",'[7]TABLO-1'!K4:K32873,"=Bildirimsiz",'[7]TABLO-1'!I4:I32873,"=Kısa",'[7]TABLO-1'!D4:D32873,"=LALAPAŞA")/P14</f>
        <v>0</v>
      </c>
      <c r="K57" s="10">
        <f>IFERROR((((I57*$P$8)+(J57*$P$14))/$P$23),"0,00")</f>
        <v>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SUMIFS('[7]TABLO-1'!O4:O32873,'[7]TABLO-1'!H4:H32873,"=Dağıtım-AG",'[7]TABLO-1'!K4:K32873,"=Bildirimsiz",'[7]TABLO-1'!I4:I32873,"=Kısa",'[7]TABLO-1'!D4:D32873,"=LALAPAŞA")/P6</f>
        <v>#DIV/0!</v>
      </c>
      <c r="D58" s="10" t="e">
        <f>SUMIFS('[7]TABLO-1'!P4:P32873,'[7]TABLO-1'!H4:H32873,"=Dağıtım-AG",'[7]TABLO-1'!K4:K32873,"=Bildirimsiz",'[7]TABLO-1'!I4:I32873,"=Kısa",'[7]TABLO-1'!D4:D32873,"=LALAPAŞA")/P12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SUMIFS('[7]TABLO-1'!Q4:Q32873,'[7]TABLO-1'!H4:H32873,"=Dağıtım-AG",'[7]TABLO-1'!K4:K32873,"=Bildirimsiz",'[7]TABLO-1'!I4:I32873,"=Kısa",'[7]TABLO-1'!D4:D32873,"=LALAPAŞA")/P7</f>
        <v>0</v>
      </c>
      <c r="G58" s="10">
        <f>SUMIFS('[7]TABLO-1'!R4:R32873,'[7]TABLO-1'!H4:H32873,"=Dağıtım-AG",'[7]TABLO-1'!K4:K32873,"=Bildirimsiz",'[7]TABLO-1'!I4:I32873,"=Kısa",'[7]TABLO-1'!D4:D32873,"=LALAPAŞA")/P13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SUMIFS('[7]TABLO-1'!S4:S32873,'[7]TABLO-1'!H4:H32873,"=Dağıtım-AG",'[7]TABLO-1'!K4:K32873,"=Bildirimsiz",'[7]TABLO-1'!I4:I32873,"=Kısa",'[7]TABLO-1'!D4:D32873,"=LALAPAŞA")/P8</f>
        <v>0</v>
      </c>
      <c r="J58" s="10">
        <f>SUMIFS('[7]TABLO-1'!T4:T32873,'[7]TABLO-1'!H4:H32873,"=Dağıtım-AG",'[7]TABLO-1'!K4:K32873,"=Bildirimsiz",'[7]TABLO-1'!I4:I32873,"=Kısa",'[7]TABLO-1'!D4:D32873,"=LALAPAŞA")/P14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</v>
      </c>
      <c r="G59" s="10">
        <f t="shared" si="20"/>
        <v>0</v>
      </c>
      <c r="H59" s="10">
        <f t="shared" si="20"/>
        <v>0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0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15</v>
      </c>
      <c r="G65" s="27">
        <f>P13</f>
        <v>1266</v>
      </c>
      <c r="H65" s="17">
        <f>SUM(F65:G65)</f>
        <v>1281</v>
      </c>
      <c r="I65" s="17">
        <f>P8</f>
        <v>68</v>
      </c>
      <c r="J65" s="27">
        <f>P14</f>
        <v>3281</v>
      </c>
      <c r="K65" s="17">
        <f>SUM(I65:J65)</f>
        <v>3349</v>
      </c>
      <c r="L65" s="17">
        <f>H65+E65+K65</f>
        <v>4630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Q71"/>
  <sheetViews>
    <sheetView zoomScale="70" zoomScaleNormal="70" workbookViewId="0">
      <selection activeCell="O32" sqref="O32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İşletmecisi",'[7]TABLO-1'!K4:K32873,"=Bildirimsiz",'[7]TABLO-1'!I4:I32873,"=Uzun",'[7]TABLO-1'!D4:D32873,"=KEŞAN")/P6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İşletmecisi",'[7]TABLO-1'!K4:K32873,"=Bildirimsiz",'[7]TABLO-1'!I4:I32873,"=Uzun",'[7]TABLO-1'!D4:D32873,"=KEŞAN")/P12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İşletmecisi",'[7]TABLO-1'!K4:K32873,"=Bildirimsiz",'[7]TABLO-1'!I4:I32873,"=Uzun",'[7]TABLO-1'!D4:D32873,"=KEŞAN")/P7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İşletmecisi",'[7]TABLO-1'!K4:K32873,"=Bildirimsiz",'[7]TABLO-1'!I4:I32873,"=Uzun",'[7]TABLO-1'!D4:D32873,"=KEŞAN")/P13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İşletmecisi",'[7]TABLO-1'!K4:K32873,"=Bildirimsiz",'[7]TABLO-1'!I4:I32873,"=Uzun",'[7]TABLO-1'!D4:D32873,"=KEŞAN")/P8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İşletmecisi",'[7]TABLO-1'!K4:K32873,"=Bildirimsiz",'[7]TABLO-1'!I4:I32873,"=Uzun",'[7]TABLO-1'!D4:D32873,"=KEŞAN")/P14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313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Sebep",'[7]TABLO-1'!K4:K32873,"=Bildirimsiz",'[7]TABLO-1'!I4:I32873,"=Uzun",'[7]TABLO-1'!D4:D32873,"=KEŞAN")/P6</f>
        <v>0</v>
      </c>
      <c r="E7" s="10">
        <f>SUMIFS('[7]TABLO-1'!V4:V32873,'[7]TABLO-1'!H4:H32873,"=İletim",'[7]TABLO-1'!J4:J32873,"=Mücbir Sebep",'[7]TABLO-1'!K4:K32873,"=Bildirimsiz",'[7]TABLO-1'!I4:I32873,"=Uzun",'[7]TABLO-1'!D4:D32873,"=KEŞAN")/P12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Sebep",'[7]TABLO-1'!K4:K32873,"=Bildirimsiz",'[7]TABLO-1'!I4:I32873,"=Uzun",'[7]TABLO-1'!D4:D32873,"=KEŞAN")/P7</f>
        <v>0</v>
      </c>
      <c r="H7" s="10">
        <f>SUMIFS('[7]TABLO-1'!X4:X32873,'[7]TABLO-1'!H4:H32873,"=İletim",'[7]TABLO-1'!J4:J32873,"=Mücbir Sebep",'[7]TABLO-1'!K4:K32873,"=Bildirimsiz",'[7]TABLO-1'!I4:I32873,"=Uzun",'[7]TABLO-1'!D4:D32873,"=KEŞAN")/P13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Sebep",'[7]TABLO-1'!K4:K32873,"=Bildirimsiz",'[7]TABLO-1'!I4:I32873,"=Uzun",'[7]TABLO-1'!D4:D32873,"=KEŞAN")/P8</f>
        <v>0</v>
      </c>
      <c r="K7" s="10">
        <f>SUMIFS('[7]TABLO-1'!Z4:Z32873,'[7]TABLO-1'!H4:H32873,"=İletim",'[7]TABLO-1'!J4:J32873,"=Mücbir Sebep",'[7]TABLO-1'!K4:K32873,"=Bildirimsiz",'[7]TABLO-1'!I4:I32873,"=Uzun",'[7]TABLO-1'!D4:D32873,"=KEŞAN")/P14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57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İşletmecisi",'[7]TABLO-1'!K4:K32873,"=Bildirimsiz",'[7]TABLO-1'!I4:I32873,"=Uzun",'[7]TABLO-1'!D4:D32873,"=KEŞAN")/P6</f>
        <v>2.3093184238499083</v>
      </c>
      <c r="E8" s="10">
        <f>SUMIFS('[7]TABLO-1'!V4:V32873,'[7]TABLO-1'!H4:H32873,"=Dağıtım-OG",'[7]TABLO-1'!J4:J32873,"=Şebeke İşletmecisi",'[7]TABLO-1'!K4:K32873,"=Bildirimsiz",'[7]TABLO-1'!I4:I32873,"=Uzun",'[7]TABLO-1'!D4:D32873,"=KEŞAN")/P12</f>
        <v>3.8639211803021905</v>
      </c>
      <c r="F8" s="10">
        <f t="shared" si="0"/>
        <v>3.8526674067055957</v>
      </c>
      <c r="G8" s="10">
        <f>SUMIFS('[7]TABLO-1'!W4:W32873,'[7]TABLO-1'!H4:H32873,"=Dağıtım-OG",'[7]TABLO-1'!J4:J32873,"=Şebeke İşletmecisi",'[7]TABLO-1'!K4:K32873,"=Bildirimsiz",'[7]TABLO-1'!I4:I32873,"=Uzun",'[7]TABLO-1'!D4:D32873,"=KEŞAN")/P7</f>
        <v>8.2523391810613447</v>
      </c>
      <c r="H8" s="10">
        <f>SUMIFS('[7]TABLO-1'!X4:X32873,'[7]TABLO-1'!H4:H32873,"=Dağıtım-OG",'[7]TABLO-1'!J4:J32873,"=Şebeke İşletmecisi",'[7]TABLO-1'!K4:K32873,"=Bildirimsiz",'[7]TABLO-1'!I4:I32873,"=Uzun",'[7]TABLO-1'!D4:D32873,"=KEŞAN")/P13</f>
        <v>10.314063782618383</v>
      </c>
      <c r="I8" s="10">
        <f t="shared" si="1"/>
        <v>10.27354023010502</v>
      </c>
      <c r="J8" s="10">
        <f>SUMIFS('[7]TABLO-1'!Y4:Y32873,'[7]TABLO-1'!H4:H32873,"=Dağıtım-OG",'[7]TABLO-1'!J4:J32873,"=Şebeke İşletmecisi",'[7]TABLO-1'!K4:K32873,"=Bildirimsiz",'[7]TABLO-1'!I4:I32873,"=Uzun",'[7]TABLO-1'!D4:D32873,"=KEŞAN")/P8</f>
        <v>14.530692167769065</v>
      </c>
      <c r="K8" s="10">
        <f>SUMIFS('[7]TABLO-1'!Z4:Z32873,'[7]TABLO-1'!H4:H32873,"=Dağıtım-OG",'[7]TABLO-1'!J4:J32873,"=Şebeke İşletmecisi",'[7]TABLO-1'!K4:K32873,"=Bildirimsiz",'[7]TABLO-1'!I4:I32873,"=Uzun",'[7]TABLO-1'!D4:D32873,"=KEŞAN")/P14</f>
        <v>6.9522167709518659</v>
      </c>
      <c r="L8" s="10">
        <f t="shared" si="2"/>
        <v>7.0707772323852964</v>
      </c>
      <c r="M8" s="11">
        <f t="shared" si="3"/>
        <v>5.2032234097492571</v>
      </c>
      <c r="O8" s="20" t="s">
        <v>36</v>
      </c>
      <c r="P8" s="53">
        <v>366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SUMIFS('[7]TABLO-1'!U4:U32873,'[7]TABLO-1'!H4:H32873,"=Dağıtım-OG",'[7]TABLO-1'!J4:J32873,"=Dışsal",'[7]TABLO-1'!K4:K32873,"=Bildirimsiz",'[7]TABLO-1'!I4:I32873,"=Uzun",'[7]TABLO-1'!D4:D32873,"=KEŞAN")/P6</f>
        <v>0</v>
      </c>
      <c r="E9" s="10">
        <f>SUMIFS('[7]TABLO-1'!V4:V32873,'[7]TABLO-1'!H4:H32873,"=Dağıtım-OG",'[7]TABLO-1'!J4:J32873,"=Dışsal",'[7]TABLO-1'!K4:K32873,"=Bildirimsiz",'[7]TABLO-1'!I4:I32873,"=Uzun",'[7]TABLO-1'!D4:D32873,"=KEŞAN")/P12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SUMIFS('[7]TABLO-1'!W4:W32873,'[7]TABLO-1'!H4:H32873,"=Dağıtım-OG",'[7]TABLO-1'!J4:J32873,"=Dışsal",'[7]TABLO-1'!K4:K32873,"=Bildirimsiz",'[7]TABLO-1'!I4:I32873,"=Uzun",'[7]TABLO-1'!D4:D32873,"=KEŞAN")/P7</f>
        <v>0</v>
      </c>
      <c r="H9" s="10">
        <f>SUMIFS('[7]TABLO-1'!X4:X32873,'[7]TABLO-1'!H4:H32873,"=Dağıtım-OG",'[7]TABLO-1'!J4:J32873,"=Dışsal",'[7]TABLO-1'!K4:K32873,"=Bildirimsiz",'[7]TABLO-1'!I4:I32873,"=Uzun",'[7]TABLO-1'!D4:D32873,"=KEŞAN")/P13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SUMIFS('[7]TABLO-1'!Y4:Y32873,'[7]TABLO-1'!H4:H32873,"=Dağıtım-OG",'[7]TABLO-1'!J4:J32873,"=Dışsal",'[7]TABLO-1'!K4:K32873,"=Bildirimsiz",'[7]TABLO-1'!I4:I32873,"=Uzun",'[7]TABLO-1'!D4:D32873,"=KEŞAN")/P8</f>
        <v>0</v>
      </c>
      <c r="K9" s="10">
        <f>SUMIFS('[7]TABLO-1'!Z4:Z32873,'[7]TABLO-1'!H4:H32873,"=Dağıtım-OG",'[7]TABLO-1'!J4:J32873,"=Dışsal",'[7]TABLO-1'!K4:K32873,"=Bildirimsiz",'[7]TABLO-1'!I4:I32873,"=Uzun",'[7]TABLO-1'!D4:D32873,"=KEŞAN")/P14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736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Sebep",'[7]TABLO-1'!K4:K32873,"=Bildirimsiz",'[7]TABLO-1'!I4:I32873,"=Uzun",'[7]TABLO-1'!D4:D32873,"=KEŞAN")/P6</f>
        <v>0</v>
      </c>
      <c r="E10" s="10">
        <f>SUMIFS('[7]TABLO-1'!V4:V32873,'[7]TABLO-1'!H4:H32873,"=Dağıtım-OG",'[7]TABLO-1'!J4:J32873,"=Mücbir Sebep",'[7]TABLO-1'!K4:K32873,"=Bildirimsiz",'[7]TABLO-1'!I4:I32873,"=Uzun",'[7]TABLO-1'!D4:D32873,"=KEŞAN")/P12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Sebep",'[7]TABLO-1'!K4:K32873,"=Bildirimsiz",'[7]TABLO-1'!I4:I32873,"=Uzun",'[7]TABLO-1'!D4:D32873,"=KEŞAN")/P7</f>
        <v>0</v>
      </c>
      <c r="H10" s="10">
        <f>SUMIFS('[7]TABLO-1'!X4:X32873,'[7]TABLO-1'!H4:H32873,"=Dağıtım-OG",'[7]TABLO-1'!J4:J32873,"=Mücbir Sebep",'[7]TABLO-1'!K4:K32873,"=Bildirimsiz",'[7]TABLO-1'!I4:I32873,"=Uzun",'[7]TABLO-1'!D4:D32873,"=KEŞAN")/P13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Sebep",'[7]TABLO-1'!K4:K32873,"=Bildirimsiz",'[7]TABLO-1'!I4:I32873,"=Uzun",'[7]TABLO-1'!D4:D32873,"=KEŞAN")/P8</f>
        <v>0</v>
      </c>
      <c r="K10" s="10">
        <f>SUMIFS('[7]TABLO-1'!Z4:Z32873,'[7]TABLO-1'!H4:H32873,"=Dağıtım-OG",'[7]TABLO-1'!J4:J32873,"=Mücbir Sebep",'[7]TABLO-1'!K4:K32873,"=Bildirimsiz",'[7]TABLO-1'!I4:I32873,"=Uzun",'[7]TABLO-1'!D4:D32873,"=KEŞAN")/P14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SUMIFS('[7]TABLO-1'!U4:U32873,'[7]TABLO-1'!H4:H32873,"=Dağıtım-OG",'[7]TABLO-1'!J4:J32873,"=Güvenlik",'[7]TABLO-1'!K4:K32873,"=Bildirimsiz",'[7]TABLO-1'!I4:I32873,"=Uzun",'[7]TABLO-1'!D4:D32873,"=KEŞAN")/P6</f>
        <v>0</v>
      </c>
      <c r="E11" s="10">
        <f>SUMIFS('[7]TABLO-1'!V4:V32873,'[7]TABLO-1'!H4:H32873,"=Dağıtım-OG",'[7]TABLO-1'!J4:J32873,"=Güvenlik",'[7]TABLO-1'!K4:K32873,"=Bildirimsiz",'[7]TABLO-1'!I4:I32873,"=Uzun",'[7]TABLO-1'!D4:D32873,"=KEŞAN")/P12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SUMIFS('[7]TABLO-1'!W4:W32873,'[7]TABLO-1'!H4:H32873,"=Dağıtım-OG",'[7]TABLO-1'!J4:J32873,"=Güvenlik",'[7]TABLO-1'!K4:K32873,"=Bildirimsiz",'[7]TABLO-1'!I4:I32873,"=Uzun",'[7]TABLO-1'!D4:D32873,"=KEŞAN")/P7</f>
        <v>0</v>
      </c>
      <c r="H11" s="10">
        <f>SUMIFS('[7]TABLO-1'!X4:X32873,'[7]TABLO-1'!H4:H32873,"=Dağıtım-OG",'[7]TABLO-1'!J4:J32873,"=Güvenlik",'[7]TABLO-1'!K4:K32873,"=Bildirimsiz",'[7]TABLO-1'!I4:I32873,"=Uzun",'[7]TABLO-1'!D4:D32873,"=KEŞAN")/P13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SUMIFS('[7]TABLO-1'!Y4:Y32873,'[7]TABLO-1'!H4:H32873,"=Dağıtım-OG",'[7]TABLO-1'!J4:J32873,"=Güvenlik",'[7]TABLO-1'!K4:K32873,"=Bildirimsiz",'[7]TABLO-1'!I4:I32873,"=Uzun",'[7]TABLO-1'!D4:D32873,"=KEŞAN")/P8</f>
        <v>0</v>
      </c>
      <c r="K11" s="10">
        <f>SUMIFS('[7]TABLO-1'!Z4:Z32873,'[7]TABLO-1'!H4:H32873,"=Dağıtım-OG",'[7]TABLO-1'!J4:J32873,"=Güvenlik",'[7]TABLO-1'!K4:K32873,"=Bildirimsiz",'[7]TABLO-1'!I4:I32873,"=Uzun",'[7]TABLO-1'!D4:D32873,"=KEŞAN")/P14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İşletmecisi",'[7]TABLO-1'!K4:K32873,"=Bildirimsiz",'[7]TABLO-1'!I4:I32873,"=Uzun",'[7]TABLO-1'!D4:D32873,"=KEŞAN")/P6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işletmecisi",'[7]TABLO-1'!K4:K32873,"=Bildirimsiz",'[7]TABLO-1'!I4:I32873,"=Uzun",'[7]TABLO-1'!D4:D32873,"=KEŞAN")/P12</f>
        <v>2.6183436226423007</v>
      </c>
      <c r="F12" s="10">
        <f t="shared" si="0"/>
        <v>2.5993894260123214</v>
      </c>
      <c r="G12" s="12">
        <f>SUMIFS('[7]TABLO-1'!W4:W32873,'[7]TABLO-1'!H4:H32873,"=Dağıtım-AG",'[7]TABLO-1'!J4:J32873,"=Şebeke İşletmecisi",'[7]TABLO-1'!K4:K32873,"=Bildirimsiz",'[7]TABLO-1'!I4:I32873,"=Uzun",'[7]TABLO-1'!D4:D32873,"=KEŞAN")/P7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İşletmecisi",'[7]TABLO-1'!K4:K32873,"=Bildirimsiz",'[7]TABLO-1'!I4:I32873,"=Uzun",'[7]TABLO-1'!D4:D32873,"=KEŞAN")/P13</f>
        <v>5.3239242577495531</v>
      </c>
      <c r="I12" s="10">
        <f t="shared" si="1"/>
        <v>5.2192816085455105</v>
      </c>
      <c r="J12" s="12">
        <f>SUMIFS('[7]TABLO-1'!Y4:Y32873,'[7]TABLO-1'!H4:H32873,"=Dağıtım-AG",'[7]TABLO-1'!J4:J32873,"=Şebeke İşletmecisi",'[7]TABLO-1'!K4:K32873,"=Bildirimsiz",'[7]TABLO-1'!I4:I32873,"=Uzun",'[7]TABLO-1'!D4:D32873,"=KEŞAN")/P8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İşletmecisi",'[7]TABLO-1'!K4:K32873,"=Bildirimsiz",'[7]TABLO-1'!I4:I32873,"=Uzun",'[7]TABLO-1'!D4:D32873,"=KEŞAN")/P14</f>
        <v>4.2015900242628605</v>
      </c>
      <c r="L12" s="10">
        <f t="shared" si="2"/>
        <v>4.1358588018272888</v>
      </c>
      <c r="M12" s="11">
        <f t="shared" si="3"/>
        <v>3.2256156549473221</v>
      </c>
      <c r="O12" s="6" t="s">
        <v>33</v>
      </c>
      <c r="P12" s="42">
        <v>42925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SUMIFS('[7]TABLO-1'!U4:U32873,'[7]TABLO-1'!H4:H32873,"=Dağıtım-AG",'[7]TABLO-1'!J4:J32873,"=Dışsal",'[7]TABLO-1'!K4:K32873,"=Bildirimsiz",'[7]TABLO-1'!I4:I32873,"=Uzun",'[7]TABLO-1'!D4:D32873,"=KEŞAN")/P6</f>
        <v>0</v>
      </c>
      <c r="E13" s="10">
        <f>SUMIFS('[7]TABLO-1'!V4:V32873,'[7]TABLO-1'!H4:H32873,"=Dağıtım-AG",'[7]TABLO-1'!J4:J32873,"=Dışsal",'[7]TABLO-1'!K4:K32873,"=Bildirimsiz",'[7]TABLO-1'!I4:I32873,"=Uzun",'[7]TABLO-1'!D4:D32873,"=KEŞAN")/P12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SUMIFS('[7]TABLO-1'!W4:W32873,'[7]TABLO-1'!H4:H32873,"=Dağıtım-AG",'[7]TABLO-1'!J4:J32873,"=Dışsal",'[7]TABLO-1'!K4:K32873,"=Bildirimsiz",'[7]TABLO-1'!I4:I32873,"=Uzun",'[7]TABLO-1'!D4:D32873,"=KEŞAN")/P7</f>
        <v>0</v>
      </c>
      <c r="H13" s="10">
        <f>SUMIFS('[7]TABLO-1'!X4:X32873,'[7]TABLO-1'!H4:H32873,"=Dağıtım-AG",'[7]TABLO-1'!J4:J32873,"=Dışsal",'[7]TABLO-1'!K4:K32873,"=Bildirimsiz",'[7]TABLO-1'!I4:I32873,"=Uzun",'[7]TABLO-1'!D4:D32873,"=KEŞAN")/P13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SUMIFS('[7]TABLO-1'!Y4:Y32873,'[7]TABLO-1'!H4:H32873,"=Dağıtım-AG",'[7]TABLO-1'!J4:J32873,"=Dışsal",'[7]TABLO-1'!K4:K32873,"=Bildirimsiz",'[7]TABLO-1'!I4:I32873,"=Uzun",'[7]TABLO-1'!D4:D32873,"=KEŞAN")/P8</f>
        <v>0</v>
      </c>
      <c r="K13" s="10">
        <f>SUMIFS('[7]TABLO-1'!Z4:Z32873,'[7]TABLO-1'!H4:H32873,"=Dağıtım-AG",'[7]TABLO-1'!J4:J32873,"=Dışsal",'[7]TABLO-1'!K4:K32873,"=Bildirimsiz",'[7]TABLO-1'!I4:I32873,"=Uzun",'[7]TABLO-1'!D4:D32873,"=KEŞAN")/P14</f>
        <v>2.7290886852612237</v>
      </c>
      <c r="L13" s="10">
        <f t="shared" si="2"/>
        <v>2.6863938163231769</v>
      </c>
      <c r="M13" s="11">
        <f t="shared" si="3"/>
        <v>0.90386123614515013</v>
      </c>
      <c r="O13" s="6" t="s">
        <v>35</v>
      </c>
      <c r="P13" s="42">
        <v>2843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Sebep",'[7]TABLO-1'!K4:K32873,"=Bildirimsiz",'[7]TABLO-1'!I4:I32873,"=Uzun",'[7]TABLO-1'!D4:D32873,"=KEŞAN")/P6</f>
        <v>0</v>
      </c>
      <c r="E14" s="10">
        <f>SUMIFS('[7]TABLO-1'!V4:V32873,'[7]TABLO-1'!H4:H32873,"=Dağıtım-AG",'[7]TABLO-1'!J4:J32873,"=Mücbir Sebep",'[7]TABLO-1'!K4:K32873,"=Bildirimsiz",'[7]TABLO-1'!I4:I32873,"=Uzun",'[7]TABLO-1'!D4:D32873,"=KEŞAN")/P12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Sebep",'[7]TABLO-1'!K4:K32873,"=Bildirimsiz",'[7]TABLO-1'!I4:I32873,"=Uzun",'[7]TABLO-1'!D4:D32873,"=KEŞAN")/P7</f>
        <v>0</v>
      </c>
      <c r="H14" s="10">
        <f>SUMIFS('[7]TABLO-1'!X4:X32873,'[7]TABLO-1'!H4:H32873,"=Dağıtım-AG",'[7]TABLO-1'!J4:J32873,"=Mücbir Sebep",'[7]TABLO-1'!K4:K32873,"=Bildirimsiz",'[7]TABLO-1'!I4:I32873,"=Uzun",'[7]TABLO-1'!D4:D32873,"=KEŞAN")/P13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Sebep",'[7]TABLO-1'!K4:K32873,"=Bildirimsiz",'[7]TABLO-1'!I4:I32873,"=Uzun",'[7]TABLO-1'!D4:D32873,"=KEŞAN")/P8</f>
        <v>0</v>
      </c>
      <c r="K14" s="10">
        <f>SUMIFS('[7]TABLO-1'!Z4:Z32873,'[7]TABLO-1'!H4:H32873,"=Dağıtım-AG",'[7]TABLO-1'!J4:J32873,"=Mücbir Sebep",'[7]TABLO-1'!K4:K32873,"=Bildirimsiz",'[7]TABLO-1'!I4:I32873,"=Uzun",'[7]TABLO-1'!D4:D32873,"=KEŞAN")/P14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23029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SUMIFS('[7]TABLO-1'!U4:U32873,'[7]TABLO-1'!H4:H32873,"=Dağıtım-AG",'[7]TABLO-1'!J4:J32873,"=Güvenlik",'[7]TABLO-1'!K4:K32873,"=Bildirimsiz",'[7]TABLO-1'!I4:I32873,"=Uzun",'[7]TABLO-1'!D4:D32873,"=KEŞAN")/P6</f>
        <v>0</v>
      </c>
      <c r="E15" s="10">
        <f>SUMIFS('[7]TABLO-1'!V4:V32873,'[7]TABLO-1'!H4:H32873,"=Dağıtım-AG",'[7]TABLO-1'!J4:J32873,"=Güvenlik",'[7]TABLO-1'!K4:K32873,"=Bildirimsiz",'[7]TABLO-1'!I4:I32873,"=Uzun",'[7]TABLO-1'!D4:D32873,"=KEŞAN")/P12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SUMIFS('[7]TABLO-1'!W4:W32873,'[7]TABLO-1'!H4:H32873,"=Dağıtım-AG",'[7]TABLO-1'!J4:J32873,"=Güvenlik",'[7]TABLO-1'!K4:K32873,"=Bildirimsiz",'[7]TABLO-1'!I4:I32873,"=Uzun",'[7]TABLO-1'!D4:D32873,"=KEŞAN")/P7</f>
        <v>0</v>
      </c>
      <c r="H15" s="10">
        <f>SUMIFS('[7]TABLO-1'!X4:X32873,'[7]TABLO-1'!H4:H32873,"=Dağıtım-AG",'[7]TABLO-1'!J4:J32873,"=Güvenlik",'[7]TABLO-1'!K4:K32873,"=Bildirimsiz",'[7]TABLO-1'!I4:I32873,"=Uzun",'[7]TABLO-1'!D4:D32873,"=KEŞAN")/P13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SUMIFS('[7]TABLO-1'!Y4:Y32873,'[7]TABLO-1'!H4:H32873,"=Dağıtım-AG",'[7]TABLO-1'!J4:J32873,"=Güvenlik",'[7]TABLO-1'!K4:K32873,"=Bildirimsiz",'[7]TABLO-1'!I4:I32873,"=Uzun",'[7]TABLO-1'!D4:D32873,"=KEŞAN")/P8</f>
        <v>0</v>
      </c>
      <c r="K15" s="10">
        <f>SUMIFS('[7]TABLO-1'!Z4:Z32873,'[7]TABLO-1'!H4:H32873,"=Dağıtım-AG",'[7]TABLO-1'!J4:J32873,"=Güvenlik",'[7]TABLO-1'!K4:K32873,"=Bildirimsiz",'[7]TABLO-1'!I4:I32873,"=Uzun",'[7]TABLO-1'!D4:D32873,"=KEŞAN")/P14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68797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2.3093184238499083</v>
      </c>
      <c r="E16" s="10">
        <f t="shared" si="4"/>
        <v>6.4822648029444911</v>
      </c>
      <c r="F16" s="10">
        <f t="shared" si="4"/>
        <v>6.4520568327179166</v>
      </c>
      <c r="G16" s="10">
        <f t="shared" si="4"/>
        <v>8.2523391810613447</v>
      </c>
      <c r="H16" s="10">
        <f t="shared" si="4"/>
        <v>15.637988040367937</v>
      </c>
      <c r="I16" s="10">
        <f t="shared" si="4"/>
        <v>15.492821838650531</v>
      </c>
      <c r="J16" s="10">
        <f>SUM(J6:J15)</f>
        <v>14.530692167769065</v>
      </c>
      <c r="K16" s="10">
        <f>SUM(K6:K15)</f>
        <v>13.882895480475952</v>
      </c>
      <c r="L16" s="10">
        <f>SUM(L6:L15)</f>
        <v>13.893029850535763</v>
      </c>
      <c r="M16" s="11">
        <f t="shared" si="4"/>
        <v>9.3327003008417293</v>
      </c>
    </row>
    <row r="17" spans="2:16" ht="15" customHeight="1" x14ac:dyDescent="0.25">
      <c r="B17" s="29"/>
      <c r="O17" s="50" t="s">
        <v>37</v>
      </c>
      <c r="P17" s="47">
        <f>P6+P12</f>
        <v>43238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2900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İşletmecisi",'[7]TABLO-1'!K4:K32873,"=Bildirimli",'[7]TABLO-1'!I4:I32873,"=Uzun",'[7]TABLO-1'!D4:D32873,"=KEŞAN")/P6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İşletmecisi",'[7]TABLO-1'!K4:K32873,"=Bildirimli",'[7]TABLO-1'!I4:I32873,"=Uzun",'[7]TABLO-1'!D4:D32873,"=KEŞAN")/P12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İşletmecisi",'[7]TABLO-1'!K4:K32873,"=Bildirimli",'[7]TABLO-1'!I4:I32873,"=Uzun",'[7]TABLO-1'!D4:D32873,"=KEŞAN")/P7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İşletmecisi",'[7]TABLO-1'!K4:K32873,"=Bildirimli",'[7]TABLO-1'!I4:I32873,"=Uzun",'[7]TABLO-1'!D4:D32873,"=KEŞAN")/P13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İşletmecisi",'[7]TABLO-1'!K4:K32873,"=Bildirimli",'[7]TABLO-1'!I4:I32873,"=Uzun",'[7]TABLO-1'!D4:D32873,"=KEŞAN")/P8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İşletmecisi",'[7]TABLO-1'!K4:K32873,"=Bildirimli",'[7]TABLO-1'!I4:I32873,"=Uzun",'[7]TABLO-1'!D4:D32873,"=KEŞAN")/P14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İşletmecisi",'[7]TABLO-1'!K4:K32873,"=Bildirimli",'[7]TABLO-1'!I4:I32873,"=Uzun",'[7]TABLO-1'!D4:D32873,"=KEŞAN")/P6</f>
        <v>1.9337060702808451</v>
      </c>
      <c r="E22" s="10">
        <f>SUMIFS('[7]TABLO-1'!V4:V32873,'[7]TABLO-1'!H4:H32873,"=Dağıtım-OG",'[7]TABLO-1'!J4:J32873,"=Şebeke İşletmecisi",'[7]TABLO-1'!K4:K32873,"=Bildirimli",'[7]TABLO-1'!I4:I32873,"=Uzun",'[7]TABLO-1'!D4:D32873,"=KEŞAN")/P12</f>
        <v>1.7509609784271369E-2</v>
      </c>
      <c r="F22" s="10">
        <f t="shared" ref="F22:F25" si="5">IFERROR((((D22*$P$6)+(E22*$P$12))/$P$17),"0,00")</f>
        <v>3.1380961191261228E-2</v>
      </c>
      <c r="G22" s="10">
        <f>SUMIFS('[7]TABLO-1'!W4:W32873,'[7]TABLO-1'!H4:H32873,"=Dağıtım-OG",'[7]TABLO-1'!J4:J32873,"=Şebeke İşletmecisi",'[7]TABLO-1'!K4:K32873,"=Bildirimli",'[7]TABLO-1'!I4:I32873,"=Uzun",'[7]TABLO-1'!D4:D32873,"=KEŞAN")/P7</f>
        <v>140.65029239576114</v>
      </c>
      <c r="H22" s="10">
        <f>SUMIFS('[7]TABLO-1'!X4:X32873,'[7]TABLO-1'!H4:H32873,"=Dağıtım-OG",'[7]TABLO-1'!J4:J32873,"=Şebeke İşletmecisi",'[7]TABLO-1'!K4:K32873,"=Bildirimli",'[7]TABLO-1'!I4:I32873,"=Uzun",'[7]TABLO-1'!D4:D32873,"=KEŞAN")/P13</f>
        <v>128.52721303613484</v>
      </c>
      <c r="I22" s="10">
        <f t="shared" ref="I22:I25" si="6">IFERROR((((G22*$P$7)+(H22*$P$13))/$P$20),"0,00")</f>
        <v>128.76549425113438</v>
      </c>
      <c r="J22" s="10">
        <f>SUMIFS('[7]TABLO-1'!Y4:Y32873,'[7]TABLO-1'!H4:H32873,"=Dağıtım-OG",'[7]TABLO-1'!J4:J32873,"=Şebeke İşletmecisi",'[7]TABLO-1'!K4:K32873,"=Bildirimli",'[7]TABLO-1'!I4:I32873,"=Uzun",'[7]TABLO-1'!D4:D32873,"=KEŞAN")/P8</f>
        <v>88.239890709214038</v>
      </c>
      <c r="K22" s="10">
        <f>SUMIFS('[7]TABLO-1'!Z4:Z32873,'[7]TABLO-1'!H4:H32873,"=Dağıtım-OG",'[7]TABLO-1'!J4:J32873,"=Şebeke İşletmecisi",'[7]TABLO-1'!K4:K32873,"=Bildirimli",'[7]TABLO-1'!I4:I32873,"=Uzun",'[7]TABLO-1'!D4:D32873,"=KEŞAN")/P14</f>
        <v>57.998907174647705</v>
      </c>
      <c r="L22" s="10">
        <f t="shared" ref="L22:L25" si="7">IFERROR((((J22*$P$8)+(K22*$P$14))/$P$23),"0,00")</f>
        <v>58.472008263497941</v>
      </c>
      <c r="M22" s="11">
        <f t="shared" ref="M22:M25" si="8">IFERROR((((F22*$P$17)+(I22*$P$20)+(L22*$P$23))/$P$26),"0,00")</f>
        <v>25.063342825030013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SUMIFS('[7]TABLO-1'!U4:U32873,'[7]TABLO-1'!H4:H32873,"=Dağıtım-OG",'[7]TABLO-1'!J4:J32873,"=Güvenlik",'[7]TABLO-1'!K4:K32873,"=Bildirimli",'[7]TABLO-1'!I4:I32873,"=Uzun",'[7]TABLO-1'!D4:D32873,"=KEŞAN")/P6</f>
        <v>0</v>
      </c>
      <c r="E23" s="10">
        <f>SUMIFS('[7]TABLO-1'!V4:V32873,'[7]TABLO-1'!H4:H32873,"=Dağıtım-OG",'[7]TABLO-1'!J4:J32873,"=Güvenlik",'[7]TABLO-1'!K4:K32873,"=Bildirimli",'[7]TABLO-1'!I4:I32873,"=Uzun",'[7]TABLO-1'!D4:D32873,"=KEŞAN")/P12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SUMIFS('[7]TABLO-1'!W4:W32873,'[7]TABLO-1'!H4:H32873,"=Dağıtım-OG",'[7]TABLO-1'!J4:J32873,"=Güvenlik",'[7]TABLO-1'!K4:K32873,"=Bildirimli",'[7]TABLO-1'!I4:I32873,"=Uzun",'[7]TABLO-1'!D4:D32873,"=KEŞAN")/P7</f>
        <v>0</v>
      </c>
      <c r="H23" s="10">
        <f>SUMIFS('[7]TABLO-1'!X4:X32873,'[7]TABLO-1'!H4:H32873,"=Dağıtım-OG",'[7]TABLO-1'!J4:J32873,"=Güvenlik",'[7]TABLO-1'!K4:K32873,"=Bildirimli",'[7]TABLO-1'!I4:I32873,"=Uzun",'[7]TABLO-1'!D4:D32873,"=KEŞAN")/P13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SUMIFS('[7]TABLO-1'!Y4:Y32873,'[7]TABLO-1'!H4:H32873,"=Dağıtım-OG",'[7]TABLO-1'!J4:J32873,"=Güvenlik",'[7]TABLO-1'!K4:K32873,"=Bildirimli",'[7]TABLO-1'!I4:I32873,"=Uzun",'[7]TABLO-1'!D4:D32873,"=KEŞAN")/P8</f>
        <v>0</v>
      </c>
      <c r="K23" s="10">
        <f>SUMIFS('[7]TABLO-1'!Z4:Z32873,'[7]TABLO-1'!H4:H32873,"=Dağıtım-OG",'[7]TABLO-1'!J4:J32873,"=Güvenlik",'[7]TABLO-1'!K4:K32873,"=Bildirimli",'[7]TABLO-1'!I4:I32873,"=Uzun",'[7]TABLO-1'!D4:D32873,"=KEŞAN")/P14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23395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İşletmecisi",'[7]TABLO-1'!K4:K32873,"=Bildirimli",'[7]TABLO-1'!I4:I32873,"=Uzun",'[7]TABLO-1'!D4:D32873,"=KEŞAN")/P6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İşletmecisi",'[7]TABLO-1'!K4:K32873,"=Bildirimli",'[7]TABLO-1'!I4:I32873,"=Uzun",'[7]TABLO-1'!D4:D32873,"=KEŞAN")/P12</f>
        <v>6.0002539312617769</v>
      </c>
      <c r="F24" s="10">
        <f t="shared" si="5"/>
        <v>5.9568180766781946</v>
      </c>
      <c r="G24" s="12">
        <f>SUMIFS('[7]TABLO-1'!W4:W32873,'[7]TABLO-1'!H4:H32873,"=Dağıtım-AG",'[7]TABLO-1'!J4:J32873,"=Şebeke İşletmecisi",'[7]TABLO-1'!K4:K32873,"=Bildirimli",'[7]TABLO-1'!I4:I32873,"=Uzun",'[7]TABLO-1'!D4:D32873,"=KEŞAN")/P7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İşletmecisi",'[7]TABLO-1'!K4:K32873,"=Bildirimli",'[7]TABLO-1'!I4:I32873,"=Uzun",'[7]TABLO-1'!D4:D32873,"=KEŞAN")/P13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İşletmecisi",'[7]TABLO-1'!K4:K32873,"=Bildirimli",'[7]TABLO-1'!I4:I32873,"=Uzun",'[7]TABLO-1'!D4:D32873,"=KEŞAN")/P8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İşletmecisi",'[7]TABLO-1'!K4:K32873,"=Bildirimli",'[7]TABLO-1'!I4:I32873,"=Uzun",'[7]TABLO-1'!D4:D32873,"=KEŞAN")/P14</f>
        <v>6.0464754584915701</v>
      </c>
      <c r="L24" s="10">
        <f t="shared" si="7"/>
        <v>5.9518821685660335</v>
      </c>
      <c r="M24" s="11">
        <f t="shared" si="8"/>
        <v>5.7067174339236644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SUMIFS('[7]TABLO-1'!U4:U32873,'[7]TABLO-1'!H4:H32873,"=Dağıtım-AG",'[7]TABLO-1'!J4:J32873,"=Güvenlik",'[7]TABLO-1'!K4:K32873,"=Bildirimli",'[7]TABLO-1'!I4:I32873,"=Uzun",'[7]TABLO-1'!D4:D32873,"=KEŞAN")/P6</f>
        <v>0</v>
      </c>
      <c r="E25" s="10">
        <f>SUMIFS('[7]TABLO-1'!V4:V32873,'[7]TABLO-1'!H4:H32873,"=Dağıtım-AG",'[7]TABLO-1'!J4:J32873,"=Güvenlik",'[7]TABLO-1'!K4:K32873,"=Bildirimli",'[7]TABLO-1'!I4:I32873,"=Uzun",'[7]TABLO-1'!D4:D32873,"=KEŞAN")/P12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SUMIFS('[7]TABLO-1'!W4:W32873,'[7]TABLO-1'!H4:H32873,"=Dağıtım-AG",'[7]TABLO-1'!J4:J32873,"=Güvenlik",'[7]TABLO-1'!K4:K32873,"=Bildirimli",'[7]TABLO-1'!I4:I32873,"=Uzun",'[7]TABLO-1'!D4:D32873,"=KEŞAN")/P7</f>
        <v>0</v>
      </c>
      <c r="H25" s="10">
        <f>SUMIFS('[7]TABLO-1'!X4:X32873,'[7]TABLO-1'!H4:H32873,"=Dağıtım-AG",'[7]TABLO-1'!J4:J32873,"=Güvenlik",'[7]TABLO-1'!K4:K32873,"=Bildirimli",'[7]TABLO-1'!I4:I32873,"=Uzun",'[7]TABLO-1'!D4:D32873,"=KEŞAN")/P13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SUMIFS('[7]TABLO-1'!Y4:Y32873,'[7]TABLO-1'!H4:H32873,"=Dağıtım-AG",'[7]TABLO-1'!J4:J32873,"=Güvenlik",'[7]TABLO-1'!K4:K32873,"=Bildirimli",'[7]TABLO-1'!I4:I32873,"=Uzun",'[7]TABLO-1'!D4:D32873,"=KEŞAN")/P8</f>
        <v>0</v>
      </c>
      <c r="K25" s="10">
        <f>SUMIFS('[7]TABLO-1'!Z4:Z32873,'[7]TABLO-1'!H4:H32873,"=Dağıtım-AG",'[7]TABLO-1'!J4:J32873,"=Güvenlik",'[7]TABLO-1'!K4:K32873,"=Bildirimli",'[7]TABLO-1'!I4:I32873,"=Uzun",'[7]TABLO-1'!D4:D32873,"=KEŞAN")/P14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1.9337060702808451</v>
      </c>
      <c r="E26" s="10">
        <f t="shared" ref="E26:M26" si="9">SUM(E21:E25)</f>
        <v>6.0177635410460484</v>
      </c>
      <c r="F26" s="10">
        <f t="shared" si="9"/>
        <v>5.9881990378694558</v>
      </c>
      <c r="G26" s="10">
        <f t="shared" si="9"/>
        <v>140.65029239576114</v>
      </c>
      <c r="H26" s="10">
        <f t="shared" si="9"/>
        <v>128.52721303613484</v>
      </c>
      <c r="I26" s="10">
        <f t="shared" si="9"/>
        <v>128.76549425113438</v>
      </c>
      <c r="J26" s="10">
        <f t="shared" si="9"/>
        <v>88.239890709214038</v>
      </c>
      <c r="K26" s="10">
        <f t="shared" si="9"/>
        <v>64.045382633139269</v>
      </c>
      <c r="L26" s="10">
        <f t="shared" si="9"/>
        <v>64.42389043206397</v>
      </c>
      <c r="M26" s="11">
        <f t="shared" si="9"/>
        <v>30.770060258953677</v>
      </c>
      <c r="O26" s="43" t="s">
        <v>22</v>
      </c>
      <c r="P26" s="44">
        <f>P20+P17+P23</f>
        <v>69533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İşletmecisi",'[7]TABLO-1'!K4:K32873,"=Bildirimsiz",'[7]TABLO-1'!I4:I32873,"=Uzun",'[7]TABLO-1'!D4:D32873,"=KEŞAN")/P6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İşletmecisi",'[7]TABLO-1'!K4:K32873,"=Bildirimsiz",'[7]TABLO-1'!I4:I32873,"=Uzun",'[7]TABLO-1'!D4:D32873,"=KEŞAN")/P12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İşletmecisi",'[7]TABLO-1'!K4:K32873,"=Bildirimsiz",'[7]TABLO-1'!I4:I32873,"=Uzun",'[7]TABLO-1'!D4:D32873,"=KEŞAN")/P7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İşletmecisi",'[7]TABLO-1'!K4:K32873,"=Bildirimsiz",'[7]TABLO-1'!I4:I32873,"=Uzun",'[7]TABLO-1'!D4:D32873,"=KEŞAN")/P13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İşletmecisi",'[7]TABLO-1'!K4:K32873,"=Bildirimsiz",'[7]TABLO-1'!I4:I32873,"=Uzun",'[7]TABLO-1'!D4:D32873,"=KEŞAN")/P8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İşletmecisi",'[7]TABLO-1'!K4:K32873,"=bildirimsiz",'[7]TABLO-1'!I4:I32873,"=Uzun",'[7]TABLO-1'!D4:D32873,"=KEŞAN")/P14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Sebep",'[7]TABLO-1'!K4:K32873,"=Bildirimsiz",'[7]TABLO-1'!I4:I32873,"=Uzun",'[7]TABLO-1'!D4:D32873,"=KEŞAN")/P6</f>
        <v>0</v>
      </c>
      <c r="E32" s="10">
        <f>SUMIFS('[7]TABLO-1'!P4:P32873,'[7]TABLO-1'!H4:H32873,"=İletim",'[7]TABLO-1'!J4:J32873,"=Mücbir Sebep",'[7]TABLO-1'!K4:K32873,"=Bildirimsiz",'[7]TABLO-1'!I4:I32873,"=Uzun",'[7]TABLO-1'!D4:D32873,"=KEŞAN")/P12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Sebep",'[7]TABLO-1'!K4:K32873,"=Bildirimsiz",'[7]TABLO-1'!I4:I32873,"=Uzun",'[7]TABLO-1'!D4:D32873,"=KEŞAN")/P7</f>
        <v>0</v>
      </c>
      <c r="H32" s="10">
        <f>SUMIFS('[7]TABLO-1'!R4:R32873,'[7]TABLO-1'!H4:H32873,"=İletim",'[7]TABLO-1'!J4:J32873,"=Mücbir Sebep",'[7]TABLO-1'!K4:K32873,"=Bildirimsiz",'[7]TABLO-1'!I4:I32873,"=Uzun",'[7]TABLO-1'!D4:D32873,"=KEŞAN")/P13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Sebep",'[7]TABLO-1'!K4:K32873,"=Bildirimsiz",'[7]TABLO-1'!I4:I32873,"=Uzun",'[7]TABLO-1'!D4:D32873,"=KEŞAN")/P8</f>
        <v>0</v>
      </c>
      <c r="K32" s="10">
        <f>SUMIFS('[7]TABLO-1'!T4:T32873,'[7]TABLO-1'!H4:H32873,"=İletim",'[7]TABLO-1'!J4:J32873,"=Mücbir Sebep",'[7]TABLO-1'!K4:K32873,"=bildirimsiz",'[7]TABLO-1'!I4:I32873,"=Uzun",'[7]TABLO-1'!D4:D32873,"=KEŞAN")/P14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İşletmecisi",'[7]TABLO-1'!K4:K32873,"=Bildirimsiz",'[7]TABLO-1'!I4:I32873,"=Uzun",'[7]TABLO-1'!D4:D32873,"=KEŞAN")/P6</f>
        <v>7.9872204472843447E-2</v>
      </c>
      <c r="E33" s="10">
        <f>SUMIFS('[7]TABLO-1'!P4:P32873,'[7]TABLO-1'!H4:H32873,"=Dağıtım-OG",'[7]TABLO-1'!J4:J32873,"=Şebeke İşletmecisi",'[7]TABLO-1'!K4:K32873,"=Bildirimsiz",'[7]TABLO-1'!I4:I32873,"=Uzun",'[7]TABLO-1'!D4:D32873,"=KEŞAN")/P12</f>
        <v>0.11440885264997087</v>
      </c>
      <c r="F33" s="10">
        <f t="shared" si="10"/>
        <v>0.11415884175956335</v>
      </c>
      <c r="G33" s="10">
        <f>SUMIFS('[7]TABLO-1'!Q4:Q32873,'[7]TABLO-1'!H4:H32873,"=Dağıtım-OG",'[7]TABLO-1'!J4:J32873,"=Şebeke İşletmecisi",'[7]TABLO-1'!K4:K32873,"=Bildirimsiz",'[7]TABLO-1'!I4:I32873,"=Uzun",'[7]TABLO-1'!D4:D32873,"=KEŞAN")/P7</f>
        <v>0.19298245614035087</v>
      </c>
      <c r="H33" s="10">
        <f>SUMIFS('[7]TABLO-1'!R4:R32873,'[7]TABLO-1'!H4:H32873,"=Dağıtım-OG",'[7]TABLO-1'!J4:J32873,"=Şebeke İşletmecisi",'[7]TABLO-1'!K4:K32873,"=Bildirimsiz",'[7]TABLO-1'!I4:I32873,"=Uzun",'[7]TABLO-1'!D4:D32873,"=KEŞAN")/P13</f>
        <v>0.32536053464650017</v>
      </c>
      <c r="I33" s="10">
        <f t="shared" si="11"/>
        <v>0.32275862068965516</v>
      </c>
      <c r="J33" s="10">
        <f>SUMIFS('[7]TABLO-1'!S4:S32873,'[7]TABLO-1'!H4:H32873,"=Dağıtım-OG",'[7]TABLO-1'!J4:J32873,"=Şebeke İşletmecisi",'[7]TABLO-1'!K4:K32873,"=Bildirimsiz",'[7]TABLO-1'!I4:I32873,"=Uzun",'[7]TABLO-1'!D4:D32873,"=KEŞAN")/P8</f>
        <v>0.40710382513661203</v>
      </c>
      <c r="K33" s="10">
        <f>SUMIFS('[7]TABLO-1'!T4:T32873,'[7]TABLO-1'!H4:H32873,"=Dağıtım-OG",'[7]TABLO-1'!J4:J32873,"=Şebeke İşletmecisi",'[7]TABLO-1'!K4:K32873,"=bildirimsiz",'[7]TABLO-1'!I4:I32873,"=Uzun",'[7]TABLO-1'!D4:D32873,"=KEŞAN")/P14</f>
        <v>0.2354856919536237</v>
      </c>
      <c r="L33" s="10">
        <f t="shared" si="12"/>
        <v>0.23817054926266296</v>
      </c>
      <c r="M33" s="11">
        <f t="shared" si="13"/>
        <v>0.16458372283663872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SUMIFS('[7]TABLO-1'!O4:O32873,'[7]TABLO-1'!H4:H32873,"=Dağıtım-OG",'[7]TABLO-1'!J4:J32873,"=Dışsal",'[7]TABLO-1'!K4:K32873,"=Bildirimsiz",'[7]TABLO-1'!I4:I32873,"=Uzun",'[7]TABLO-1'!D4:D32873,"=KEŞAN")/P6</f>
        <v>0</v>
      </c>
      <c r="E34" s="10">
        <f>SUMIFS('[7]TABLO-1'!P4:P32873,'[7]TABLO-1'!H4:H32873,"=Dağıtım-OG",'[7]TABLO-1'!J4:J32873,"=Dışsal",'[7]TABLO-1'!K4:K32873,"=Bildirimsiz",'[7]TABLO-1'!I4:I32873,"=Uzun",'[7]TABLO-1'!D4:D32873,"=KEŞAN")/P12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SUMIFS('[7]TABLO-1'!Q4:Q32873,'[7]TABLO-1'!H4:H32873,"=Dağıtım-OG",'[7]TABLO-1'!J4:J32873,"=Dışsal",'[7]TABLO-1'!K4:K32873,"=Bildirimsiz",'[7]TABLO-1'!I4:I32873,"=Uzun",'[7]TABLO-1'!D4:D32873,"=KEŞAN")/P7</f>
        <v>0</v>
      </c>
      <c r="H34" s="10">
        <f>SUMIFS('[7]TABLO-1'!R4:R32873,'[7]TABLO-1'!H4:H32873,"=Dağıtım-OG",'[7]TABLO-1'!J4:J32873,"=Dışsal",'[7]TABLO-1'!K4:K32873,"=Bildirimsiz",'[7]TABLO-1'!I4:I32873,"=Uzun",'[7]TABLO-1'!D4:D32873,"=KEŞAN")/P13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SUMIFS('[7]TABLO-1'!S4:S32873,'[7]TABLO-1'!H4:H32873,"=Dağıtım-OG",'[7]TABLO-1'!J4:J32873,"=Dışsal",'[7]TABLO-1'!K4:K32873,"=Bildirimsiz",'[7]TABLO-1'!I4:I32873,"=Uzun",'[7]TABLO-1'!D4:D32873,"=KEŞAN")/P8</f>
        <v>0</v>
      </c>
      <c r="K34" s="10">
        <f>SUMIFS('[7]TABLO-1'!T4:T32873,'[7]TABLO-1'!H4:H32873,"=Dağıtım-OG",'[7]TABLO-1'!J4:J32873,"=Dışsal",'[7]TABLO-1'!K4:K32873,"=bildirimsiz",'[7]TABLO-1'!I4:I32873,"=Uzun",'[7]TABLO-1'!D4:D32873,"=KEŞAN")/P14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Sebep",'[7]TABLO-1'!K4:K32873,"=Bildirimsiz",'[7]TABLO-1'!I4:I32873,"=Uzun",'[7]TABLO-1'!D4:D32873,"=KEŞAN")/P6</f>
        <v>0</v>
      </c>
      <c r="E35" s="10">
        <f>SUMIFS('[7]TABLO-1'!P4:P32873,'[7]TABLO-1'!H4:H32873,"=Dağıtım-OG",'[7]TABLO-1'!J4:J32873,"=Mücbir Sebep",'[7]TABLO-1'!K4:K32873,"=Bildirimsiz",'[7]TABLO-1'!I4:I32873,"=Uzun",'[7]TABLO-1'!D4:D32873,"=KEŞAN")/P12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Sebep",'[7]TABLO-1'!K4:K32873,"=Bildirimsiz",'[7]TABLO-1'!I4:I32873,"=Uzun",'[7]TABLO-1'!D4:D32873,"=KEŞAN")/P7</f>
        <v>0</v>
      </c>
      <c r="H35" s="10">
        <f>SUMIFS('[7]TABLO-1'!R4:R32873,'[7]TABLO-1'!H4:H32873,"=Dağıtım-OG",'[7]TABLO-1'!J4:J32873,"=Mücbir Sebep",'[7]TABLO-1'!K4:K32873,"=Bildirimsiz",'[7]TABLO-1'!I4:I32873,"=Uzun",'[7]TABLO-1'!D4:D32873,"=KEŞAN")/P13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Sebep",'[7]TABLO-1'!K4:K32873,"=Bildirimsiz",'[7]TABLO-1'!I4:I32873,"=Uzun",'[7]TABLO-1'!D4:D32873,"=KEŞAN")/P8</f>
        <v>0</v>
      </c>
      <c r="K35" s="10">
        <f>SUMIFS('[7]TABLO-1'!T4:T32873,'[7]TABLO-1'!H4:H32873,"=Dağıtım-OG",'[7]TABLO-1'!J4:J32873,"=Mücbir Sebep",'[7]TABLO-1'!K4:K32873,"=bildirimsiz",'[7]TABLO-1'!I4:I32873,"=Uzun",'[7]TABLO-1'!D4:D32873,"=KEŞAN")/P14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SUMIFS('[7]TABLO-1'!O4:O32873,'[7]TABLO-1'!H4:H32873,"=Dağıtım-OG",'[7]TABLO-1'!J4:J32873,"=Güvenlik",'[7]TABLO-1'!K4:K32873,"=Bildirimsiz",'[7]TABLO-1'!I4:I32873,"=Uzun",'[7]TABLO-1'!D4:D32873,"=KEŞAN")/P6</f>
        <v>0</v>
      </c>
      <c r="E36" s="10">
        <f>SUMIFS('[7]TABLO-1'!P4:P32873,'[7]TABLO-1'!H4:H32873,"=Dağıtım-OG",'[7]TABLO-1'!J4:J32873,"=Güvenlik",'[7]TABLO-1'!K4:K32873,"=Bildirimsiz",'[7]TABLO-1'!I4:I32873,"=Uzun",'[7]TABLO-1'!D4:D32873,"=KEŞAN")/P12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SUMIFS('[7]TABLO-1'!Q4:Q32873,'[7]TABLO-1'!H4:H32873,"=Dağıtım-OG",'[7]TABLO-1'!J4:J32873,"=Güvenlik",'[7]TABLO-1'!K4:K32873,"=Bildirimsiz",'[7]TABLO-1'!I4:I32873,"=Uzun",'[7]TABLO-1'!D4:D32873,"=KEŞAN")/P7</f>
        <v>0</v>
      </c>
      <c r="H36" s="10">
        <f>SUMIFS('[7]TABLO-1'!R4:R32873,'[7]TABLO-1'!H4:H32873,"=Dağıtım-OG",'[7]TABLO-1'!J4:J32873,"=Güvenlik",'[7]TABLO-1'!K4:K32873,"=Bildirimsiz",'[7]TABLO-1'!I4:I32873,"=Uzun",'[7]TABLO-1'!D4:D32873,"=KEŞAN")/P13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SUMIFS('[7]TABLO-1'!S4:S32873,'[7]TABLO-1'!H4:H32873,"=Dağıtım-OG",'[7]TABLO-1'!J4:J32873,"=Güvenlik",'[7]TABLO-1'!K4:K32873,"=Bildirimsiz",'[7]TABLO-1'!I4:I32873,"=Uzun",'[7]TABLO-1'!D4:D32873,"=KEŞAN")/P8</f>
        <v>0</v>
      </c>
      <c r="K36" s="10">
        <f>SUMIFS('[7]TABLO-1'!T4:T32873,'[7]TABLO-1'!H4:H32873,"=Dağıtım-OG",'[7]TABLO-1'!J4:J32873,"=Güvenlik",'[7]TABLO-1'!K4:K32873,"=bildirimsiz",'[7]TABLO-1'!I4:I32873,"=Uzun",'[7]TABLO-1'!D4:D32873,"=KEŞAN")/P14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İşletmecisi",'[7]TABLO-1'!K4:K32873,"=Bildirimsiz",'[7]TABLO-1'!I4:I32873,"=Uzun",'[7]TABLO-1'!D4:D32873,"=KEŞAN")/P6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İşletmecisi",'[7]TABLO-1'!K4:K32873,"=Bildirimsiz",'[7]TABLO-1'!I4:I32873,"=Uzun",'[7]TABLO-1'!D4:D32873,"=KEŞAN")/P12</f>
        <v>8.0652300524170065E-2</v>
      </c>
      <c r="F37" s="10">
        <f t="shared" si="10"/>
        <v>8.006845830056894E-2</v>
      </c>
      <c r="G37" s="12">
        <f>SUMIFS('[7]TABLO-1'!Q4:Q32873,'[7]TABLO-1'!H4:H32873,"=Dağıtım-AG",'[7]TABLO-1'!J4:J32873,"=Şebeke İşletmecisi",'[7]TABLO-1'!K4:K32873,"=Bildirimsiz",'[7]TABLO-1'!I4:I32873,"=Uzun",'[7]TABLO-1'!D4:D32873,"=KEŞAN")/P7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İşletmecisi",'[7]TABLO-1'!K4:K32873,"=Bildirimsiz",'[7]TABLO-1'!I4:I32873,"=Uzun",'[7]TABLO-1'!D4:D32873,"=KEŞAN")/P13</f>
        <v>0.14069644741470277</v>
      </c>
      <c r="I37" s="10">
        <f t="shared" si="11"/>
        <v>0.13793103448275862</v>
      </c>
      <c r="J37" s="12">
        <f>SUMIFS('[7]TABLO-1'!S4:S32873,'[7]TABLO-1'!H4:H32873,"=Dağıtım-AG",'[7]TABLO-1'!J4:J32873,"=Şebeke İşletmecisi",'[7]TABLO-1'!K4:K32873,"=Bildirimsiz",'[7]TABLO-1'!I4:I32873,"=Uzun",'[7]TABLO-1'!D4:D32873,"=KEŞAN")/P8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İşletmecisi",'[7]TABLO-1'!K4:K32873,"=bildirimsiz",'[7]TABLO-1'!I4:I32873,"=Uzun",'[7]TABLO-1'!D4:D32873,"=KEŞAN")/P14</f>
        <v>5.9273090451170261E-2</v>
      </c>
      <c r="L37" s="10">
        <f t="shared" si="12"/>
        <v>5.8345800384697583E-2</v>
      </c>
      <c r="M37" s="11">
        <f t="shared" si="13"/>
        <v>7.5172939467590932E-2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SUMIFS('[7]TABLO-1'!O4:O32873,'[7]TABLO-1'!H4:H32873,"=Dağıtım-AG",'[7]TABLO-1'!J4:J32873,"=Dışsal",'[7]TABLO-1'!K4:K32873,"=Bildirimsiz",'[7]TABLO-1'!I4:I32873,"=Uzun",'[7]TABLO-1'!D4:D32873,"=KEŞAN")/P6</f>
        <v>0</v>
      </c>
      <c r="E38" s="10">
        <f>SUMIFS('[7]TABLO-1'!P4:P32873,'[7]TABLO-1'!H4:H32873,"=Dağıtım-AG",'[7]TABLO-1'!J4:J32873,"=Dışsal",'[7]TABLO-1'!K4:K32873,"=Bildirimsiz",'[7]TABLO-1'!I4:I32873,"=Uzun",'[7]TABLO-1'!D4:D32873,"=KEŞAN")/P12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SUMIFS('[7]TABLO-1'!Q4:Q32873,'[7]TABLO-1'!H4:H32873,"=Dağıtım-AG",'[7]TABLO-1'!J4:J32873,"=Dışsal",'[7]TABLO-1'!K4:K32873,"=Bildirimsiz",'[7]TABLO-1'!I4:I32873,"=Uzun",'[7]TABLO-1'!D4:D32873,"=KEŞAN")/P7</f>
        <v>0</v>
      </c>
      <c r="H38" s="10">
        <f>SUMIFS('[7]TABLO-1'!R4:R32873,'[7]TABLO-1'!H4:H32873,"=Dağıtım-AG",'[7]TABLO-1'!J4:J32873,"=Dışsal",'[7]TABLO-1'!K4:K32873,"=Bildirimsiz",'[7]TABLO-1'!I4:I32873,"=Uzun",'[7]TABLO-1'!D4:D32873,"=KEŞAN")/P13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SUMIFS('[7]TABLO-1'!S4:S32873,'[7]TABLO-1'!H4:H32873,"=Dağıtım-AG",'[7]TABLO-1'!J4:J32873,"=Dışsal",'[7]TABLO-1'!K4:K32873,"=Bildirimsiz",'[7]TABLO-1'!I4:I32873,"=Uzun",'[7]TABLO-1'!D4:D32873,"=KEŞAN")/P8</f>
        <v>0</v>
      </c>
      <c r="K38" s="10">
        <f>SUMIFS('[7]TABLO-1'!T4:T32873,'[7]TABLO-1'!H4:H32873,"=Dağıtım-AG",'[7]TABLO-1'!J4:J32873,"=Dışsal",'[7]TABLO-1'!K4:K32873,"=bildirimsiz",'[7]TABLO-1'!I4:I32873,"=Uzun",'[7]TABLO-1'!D4:D32873,"=KEŞAN")/P14</f>
        <v>5.0371271006122717E-3</v>
      </c>
      <c r="L38" s="10">
        <f t="shared" si="12"/>
        <v>4.9583244282966447E-3</v>
      </c>
      <c r="M38" s="11">
        <f t="shared" si="13"/>
        <v>1.6682726187565616E-3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Sebep",'[7]TABLO-1'!K4:K32873,"=Bildirimsiz",'[7]TABLO-1'!I4:I32873,"=Uzun",'[7]TABLO-1'!D4:D32873,"=KEŞAN")/P6</f>
        <v>0</v>
      </c>
      <c r="E39" s="10">
        <f>SUMIFS('[7]TABLO-1'!P4:P32873,'[7]TABLO-1'!H4:H32873,"=Dağıtım-AG",'[7]TABLO-1'!J4:J32873,"=Mücbir Sebep",'[7]TABLO-1'!K4:K32873,"=Bildirimsiz",'[7]TABLO-1'!I4:I32873,"=Uzun",'[7]TABLO-1'!D4:D32873,"=KEŞAN")/P12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Sebep",'[7]TABLO-1'!K4:K32873,"=Bildirimsiz",'[7]TABLO-1'!I4:I32873,"=Uzun",'[7]TABLO-1'!D4:D32873,"=KEŞAN")/P7</f>
        <v>0</v>
      </c>
      <c r="H39" s="10">
        <f>SUMIFS('[7]TABLO-1'!R4:R32873,'[7]TABLO-1'!H4:H32873,"=Dağıtım-AG",'[7]TABLO-1'!J4:J32873,"=Mücbir Sebep",'[7]TABLO-1'!K4:K32873,"=Bildirimsiz",'[7]TABLO-1'!I4:I32873,"=Uzun",'[7]TABLO-1'!D4:D32873,"=KEŞAN")/P13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Sebep",'[7]TABLO-1'!K4:K32873,"=Bildirimsiz",'[7]TABLO-1'!I4:I32873,"=Uzun",'[7]TABLO-1'!D4:D32873,"=KEŞAN")/P8</f>
        <v>0</v>
      </c>
      <c r="K39" s="10">
        <f>SUMIFS('[7]TABLO-1'!T4:T32873,'[7]TABLO-1'!H4:H32873,"=Dağıtım-AG",'[7]TABLO-1'!J4:J32873,"=Mücbir Sebep",'[7]TABLO-1'!K4:K32873,"=bildirimsiz",'[7]TABLO-1'!I4:I32873,"=Uzun",'[7]TABLO-1'!D4:D32873,"=KEŞAN")/P14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SUMIFS('[7]TABLO-1'!O4:O32873,'[7]TABLO-1'!H4:H32873,"=Dağıtım-AG",'[7]TABLO-1'!J4:J32873,"=Güvenlik",'[7]TABLO-1'!K4:K32873,"=Bildirimsiz",'[7]TABLO-1'!I4:I32873,"=Uzun",'[7]TABLO-1'!D4:D32873,"=KEŞAN")/P6</f>
        <v>0</v>
      </c>
      <c r="E40" s="10">
        <f>SUMIFS('[7]TABLO-1'!P4:P32873,'[7]TABLO-1'!H4:H32873,"=Dağıtım-AG",'[7]TABLO-1'!J4:J32873,"=Güvenlik",'[7]TABLO-1'!K4:K32873,"=Bildirimsiz",'[7]TABLO-1'!I4:I32873,"=Uzun",'[7]TABLO-1'!D4:D32873,"=KEŞAN")/P12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SUMIFS('[7]TABLO-1'!Q4:Q32873,'[7]TABLO-1'!H4:H32873,"=Dağıtım-AG",'[7]TABLO-1'!J4:J32873,"=Güvenlik",'[7]TABLO-1'!K4:K32873,"=Bildirimsiz",'[7]TABLO-1'!I4:I32873,"=Uzun",'[7]TABLO-1'!D4:D32873,"=KEŞAN")/P7</f>
        <v>0</v>
      </c>
      <c r="H40" s="10">
        <f>SUMIFS('[7]TABLO-1'!R4:R32873,'[7]TABLO-1'!H4:H32873,"=Dağıtım-AG",'[7]TABLO-1'!J4:J32873,"=Güvenlik",'[7]TABLO-1'!K4:K32873,"=Bildirimsiz",'[7]TABLO-1'!I4:I32873,"=Uzun",'[7]TABLO-1'!D4:D32873,"=KEŞAN")/P13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SUMIFS('[7]TABLO-1'!S4:S32873,'[7]TABLO-1'!H4:H32873,"=Dağıtım-AG",'[7]TABLO-1'!J4:J32873,"=Güvenlik",'[7]TABLO-1'!K4:K32873,"=Bildirimsiz",'[7]TABLO-1'!I4:I32873,"=Uzun",'[7]TABLO-1'!D4:D32873,"=KEŞAN")/P8</f>
        <v>0</v>
      </c>
      <c r="K40" s="10">
        <f>SUMIFS('[7]TABLO-1'!T4:T32873,'[7]TABLO-1'!H4:H32873,"=Dağıtım-AG",'[7]TABLO-1'!J4:J32873,"=Güvenlik",'[7]TABLO-1'!K4:K32873,"=bildirimsiz",'[7]TABLO-1'!I4:I32873,"=Uzun",'[7]TABLO-1'!D4:D32873,"=KEŞAN")/P14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7.9872204472843447E-2</v>
      </c>
      <c r="E41" s="10">
        <f t="shared" ref="E41:M41" si="14">SUM(E31:E40)</f>
        <v>0.19506115317414094</v>
      </c>
      <c r="F41" s="10">
        <f t="shared" si="14"/>
        <v>0.19422730006013228</v>
      </c>
      <c r="G41" s="10">
        <f t="shared" si="14"/>
        <v>0.19298245614035087</v>
      </c>
      <c r="H41" s="10">
        <f t="shared" si="14"/>
        <v>0.46605698206120294</v>
      </c>
      <c r="I41" s="10">
        <f t="shared" si="14"/>
        <v>0.46068965517241378</v>
      </c>
      <c r="J41" s="10">
        <f t="shared" si="14"/>
        <v>0.40710382513661203</v>
      </c>
      <c r="K41" s="10">
        <f t="shared" si="14"/>
        <v>0.29979590950540624</v>
      </c>
      <c r="L41" s="10">
        <f t="shared" si="14"/>
        <v>0.30147467407565715</v>
      </c>
      <c r="M41" s="10">
        <f t="shared" si="14"/>
        <v>0.24142493492298622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İşletmecisi",'[7]TABLO-1'!K4:K32873,"=Bildirimli",'[7]TABLO-1'!I4:I32873,"=Uzun",'[7]TABLO-1'!D4:D32873,"=KEŞAN")/P6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İşletmecisi",'[7]TABLO-1'!K4:K32873,"=Bildirimli",'[7]TABLO-1'!I4:I32873,"=Uzun",'[7]TABLO-1'!D4:D32873,"=KEŞAN")/P12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İşletmecisi",'[7]TABLO-1'!K4:K32873,"=Bildirimli",'[7]TABLO-1'!I4:I32873,"=Uzun",'[7]TABLO-1'!D4:D32873,"=KEŞAN")/P7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İşletmecisi",'[7]TABLO-1'!K4:K32873,"=Bildirimli",'[7]TABLO-1'!I4:I32873,"=Uzun",'[7]TABLO-1'!D4:D32873,"=KEŞAN")/P13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İşletmecisi",'[7]TABLO-1'!K4:K32873,"=Bildirimli",'[7]TABLO-1'!I4:I32873,"=Uzun",'[7]TABLO-1'!D4:D32873,"=KEŞAN")/P8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İşletmecisi",'[7]TABLO-1'!K4:K32873,"=bildirimli",'[7]TABLO-1'!I4:I32873,"=Uzun",'[7]TABLO-1'!D4:D32873,"=KEŞAN")/P14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İşletmecisi",'[7]TABLO-1'!K4:K32873,"=Bildirimli",'[7]TABLO-1'!I4:I32873,"=Uzun",'[7]TABLO-1'!D4:D32873,"=KEŞAN")/P6</f>
        <v>1.5974440894568689E-2</v>
      </c>
      <c r="E47" s="10">
        <f>SUMIFS('[7]TABLO-1'!P4:P32873,'[7]TABLO-1'!H4:H32873,"=Dağıtım-OG",'[7]TABLO-1'!J4:J32873,"=Şebeke İşletmecisi",'[7]TABLO-1'!K4:K32873,"=Bildirimli",'[7]TABLO-1'!I4:I32873,"=Uzun",'[7]TABLO-1'!D4:D32873,"=KEŞAN")/P12</f>
        <v>1.3977868375072801E-4</v>
      </c>
      <c r="F47" s="10">
        <f t="shared" ref="F47:F50" si="15">IFERROR((((D47*$P$6)+(E47*$P$12))/$P$17),"0,00")</f>
        <v>2.5440584670891346E-4</v>
      </c>
      <c r="G47" s="10">
        <f>SUMIFS('[7]TABLO-1'!Q4:Q32873,'[7]TABLO-1'!H4:H32873,"=Dağıtım-OG",'[7]TABLO-1'!J4:J32873,"=Şebeke İşletmecisi",'[7]TABLO-1'!K4:K32873,"=Bildirimli",'[7]TABLO-1'!I4:I32873,"=Uzun",'[7]TABLO-1'!D4:D32873,"=KEŞAN")/P7</f>
        <v>1.1228070175438596</v>
      </c>
      <c r="H47" s="10">
        <f>SUMIFS('[7]TABLO-1'!R4:R32873,'[7]TABLO-1'!H4:H32873,"=Dağıtım-OG",'[7]TABLO-1'!J4:J32873,"=Şebeke İşletmecisi",'[7]TABLO-1'!K4:K32873,"=Bildirimli",'[7]TABLO-1'!I4:I32873,"=Uzun",'[7]TABLO-1'!D4:D32873,"=KEŞAN")/P13</f>
        <v>1.0260288427717199</v>
      </c>
      <c r="I47" s="10">
        <f t="shared" ref="I47:I50" si="16">IFERROR((((G47*$P$7)+(H47*$P$13))/$P$20),"0,00")</f>
        <v>1.0279310344827584</v>
      </c>
      <c r="J47" s="10">
        <f>SUMIFS('[7]TABLO-1'!S4:S32873,'[7]TABLO-1'!H4:H32873,"=Dağıtım-OG",'[7]TABLO-1'!J4:J32873,"=Şebeke İşletmecisi",'[7]TABLO-1'!K4:K32873,"=Bildirimli",'[7]TABLO-1'!I4:I32873,"=Uzun",'[7]TABLO-1'!D4:D32873,"=KEŞAN")/P8</f>
        <v>0.62295081967213117</v>
      </c>
      <c r="K47" s="10">
        <f>SUMIFS('[7]TABLO-1'!T4:T32873,'[7]TABLO-1'!H4:H32873,"=Dağıtım-OG",'[7]TABLO-1'!J4:J32873,"=Şebeke İşletmecisi",'[7]TABLO-1'!K4:K32873,"=bildirimli",'[7]TABLO-1'!I4:I32873,"=Uzun",'[7]TABLO-1'!D4:D32873,"=KEŞAN")/P14</f>
        <v>0.32259325198662558</v>
      </c>
      <c r="L47" s="10">
        <f t="shared" ref="L47:L50" si="17">IFERROR((((J47*$P$8)+(K47*$P$14))/$P$23),"0,00")</f>
        <v>0.32729215644368459</v>
      </c>
      <c r="M47" s="11">
        <f t="shared" ref="M47:M50" si="18">IFERROR((((F47*$P$17)+(I47*$P$20)+(L47*$P$23))/$P$26),"0,00")</f>
        <v>0.15315030273395366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SUMIFS('[7]TABLO-1'!O4:O32873,'[7]TABLO-1'!H4:H32873,"=Dağıtım-OG",'[7]TABLO-1'!J4:J32873,"=Güvenlik",'[7]TABLO-1'!K4:K32873,"=Bildirimli",'[7]TABLO-1'!I4:I32873,"=Uzun",'[7]TABLO-1'!D4:D32873,"=KEŞAN")/P6</f>
        <v>0</v>
      </c>
      <c r="E48" s="10">
        <f>SUMIFS('[7]TABLO-1'!P4:P32873,'[7]TABLO-1'!H4:H32873,"=Dağıtım-OG",'[7]TABLO-1'!J4:J32873,"=Güvenlik",'[7]TABLO-1'!K4:K32873,"=Bildirimli",'[7]TABLO-1'!I4:I32873,"=Uzun",'[7]TABLO-1'!D4:D32873,"=KEŞAN")/P12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SUMIFS('[7]TABLO-1'!Q4:Q32873,'[7]TABLO-1'!H4:H32873,"=Dağıtım-OG",'[7]TABLO-1'!J4:J32873,"=Güvenlik",'[7]TABLO-1'!K4:K32873,"=Bildirimli",'[7]TABLO-1'!I4:I32873,"=Uzun",'[7]TABLO-1'!D4:D32873,"=KEŞAN")/P7</f>
        <v>0</v>
      </c>
      <c r="H48" s="10">
        <f>SUMIFS('[7]TABLO-1'!R4:R32873,'[7]TABLO-1'!H4:H32873,"=Dağıtım-OG",'[7]TABLO-1'!J4:J32873,"=Güvenlik",'[7]TABLO-1'!K4:K32873,"=Bildirimli",'[7]TABLO-1'!I4:I32873,"=Uzun",'[7]TABLO-1'!D4:D32873,"=KEŞAN")/P13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SUMIFS('[7]TABLO-1'!S4:S32873,'[7]TABLO-1'!H4:H32873,"=Dağıtım-OG",'[7]TABLO-1'!J4:J32873,"=Güvenlik",'[7]TABLO-1'!K4:K32873,"=Bildirimli",'[7]TABLO-1'!I4:I32873,"=Uzun",'[7]TABLO-1'!D4:D32873,"=KEŞAN")/P8</f>
        <v>0</v>
      </c>
      <c r="K48" s="10">
        <f>SUMIFS('[7]TABLO-1'!T4:T32873,'[7]TABLO-1'!H4:H32873,"=Dağıtım-OG",'[7]TABLO-1'!J4:J32873,"=Güvenlik",'[7]TABLO-1'!K4:K32873,"=bildirimli",'[7]TABLO-1'!I4:I32873,"=Uzun",'[7]TABLO-1'!D4:D32873,"=KEŞAN")/P14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İşletmecisi",'[7]TABLO-1'!K4:K32873,"=Bildirimli",'[7]TABLO-1'!I4:I32873,"=Uzun",'[7]TABLO-1'!D4:D32873,"=KEŞAN")/P6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İşletmecisi",'[7]TABLO-1'!K4:K32873,"=Bildirimli",'[7]TABLO-1'!I4:I32873,"=Uzun",'[7]TABLO-1'!D4:D32873,"=KEŞAN")/P12</f>
        <v>2.4205008736167734E-2</v>
      </c>
      <c r="F49" s="10">
        <f t="shared" si="15"/>
        <v>2.4029788611869191E-2</v>
      </c>
      <c r="G49" s="12">
        <f>SUMIFS('[7]TABLO-1'!Q4:Q32873,'[7]TABLO-1'!H4:H32873,"=Dağıtım-AG",'[7]TABLO-1'!J4:J32873,"=Şebeke İşletmecisi",'[7]TABLO-1'!K4:K32873,"=Bildirimli",'[7]TABLO-1'!I4:I32873,"=Uzun",'[7]TABLO-1'!D4:D32873,"=KEŞAN")/P7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İşletmecisi",'[7]TABLO-1'!K4:K32873,"=Bildirimli",'[7]TABLO-1'!I4:I32873,"=Uzun",'[7]TABLO-1'!D4:D32873,"=KEŞAN")/P13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İşletmecisi",'[7]TABLO-1'!K4:K32873,"=Bildirimli",'[7]TABLO-1'!I4:I32873,"=Uzun",'[7]TABLO-1'!D4:D32873,"=KEŞAN")/P8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İşletmecisi",'[7]TABLO-1'!K4:K32873,"=bildirimli",'[7]TABLO-1'!I4:I32873,"=Uzun",'[7]TABLO-1'!D4:D32873,"=KEŞAN")/P14</f>
        <v>3.035303313213774E-2</v>
      </c>
      <c r="L49" s="10">
        <f t="shared" si="17"/>
        <v>2.9878179098097885E-2</v>
      </c>
      <c r="M49" s="11">
        <f t="shared" si="18"/>
        <v>2.4995325960335379E-2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SUMIFS('[7]TABLO-1'!O4:O32873,'[7]TABLO-1'!H4:H32873,"=Dağıtım-AG",'[7]TABLO-1'!J4:J32873,"=Güvenlik",'[7]TABLO-1'!K4:K32873,"=Bildirimli",'[7]TABLO-1'!I4:I32873,"=Uzun",'[7]TABLO-1'!D4:D32873,"=KEŞAN")/P6</f>
        <v>0</v>
      </c>
      <c r="E50" s="10">
        <f>SUMIFS('[7]TABLO-1'!P4:P32873,'[7]TABLO-1'!H4:H32873,"=Dağıtım-AG",'[7]TABLO-1'!J4:J32873,"=Güvenlik",'[7]TABLO-1'!K4:K32873,"=Bildirimli",'[7]TABLO-1'!I4:I32873,"=Uzun",'[7]TABLO-1'!D4:D32873,"=KEŞAN")/P12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SUMIFS('[7]TABLO-1'!Q4:Q32873,'[7]TABLO-1'!H4:H32873,"=Dağıtım-AG",'[7]TABLO-1'!J4:J32873,"=Güvenlik",'[7]TABLO-1'!K4:K32873,"=Bildirimli",'[7]TABLO-1'!I4:I32873,"=Uzun",'[7]TABLO-1'!D4:D32873,"=KEŞAN")/P7</f>
        <v>0</v>
      </c>
      <c r="H50" s="10">
        <f>SUMIFS('[7]TABLO-1'!R4:R32873,'[7]TABLO-1'!H4:H32873,"=Dağıtım-AG",'[7]TABLO-1'!J4:J32873,"=Güvenlik",'[7]TABLO-1'!K4:K32873,"=Bildirimli",'[7]TABLO-1'!I4:I32873,"=Uzun",'[7]TABLO-1'!D4:D32873,"=KEŞAN")/P13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SUMIFS('[7]TABLO-1'!S4:S32873,'[7]TABLO-1'!H4:H32873,"=Dağıtım-AG",'[7]TABLO-1'!J4:J32873,"=Güvenlik",'[7]TABLO-1'!K4:K32873,"=Bildirimli",'[7]TABLO-1'!I4:I32873,"=Uzun",'[7]TABLO-1'!D4:D32873,"=KEŞAN")/P8</f>
        <v>0</v>
      </c>
      <c r="K50" s="10">
        <f>SUMIFS('[7]TABLO-1'!T4:T32873,'[7]TABLO-1'!H4:H32873,"=Dağıtım-AG",'[7]TABLO-1'!J4:J32873,"=Güvenlik",'[7]TABLO-1'!K4:K32873,"=bildirimli",'[7]TABLO-1'!I4:I32873,"=Uzun",'[7]TABLO-1'!D4:D32873,"=KEŞAN")/P14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1.5974440894568689E-2</v>
      </c>
      <c r="E51" s="10">
        <f t="shared" ref="E51:M51" si="19">SUM(E46:E50)</f>
        <v>2.4344787419918461E-2</v>
      </c>
      <c r="F51" s="10">
        <f t="shared" si="19"/>
        <v>2.4284194458578105E-2</v>
      </c>
      <c r="G51" s="10">
        <f t="shared" si="19"/>
        <v>1.1228070175438596</v>
      </c>
      <c r="H51" s="10">
        <f t="shared" si="19"/>
        <v>1.0260288427717199</v>
      </c>
      <c r="I51" s="10">
        <f t="shared" si="19"/>
        <v>1.0279310344827584</v>
      </c>
      <c r="J51" s="10">
        <f t="shared" si="19"/>
        <v>0.62295081967213117</v>
      </c>
      <c r="K51" s="10">
        <f t="shared" si="19"/>
        <v>0.3529462851187633</v>
      </c>
      <c r="L51" s="10">
        <f t="shared" si="19"/>
        <v>0.35717033554178246</v>
      </c>
      <c r="M51" s="10">
        <f t="shared" si="19"/>
        <v>0.17814562869428904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SUMIFS('[7]TABLO-1'!O1:O32873,'[7]TABLO-1'!H1:H32873,"=İletim",'[7]TABLO-1'!K1:K32873,"=Bildirimsiz",'[7]TABLO-1'!I1:I32873,"=Kısa",'[7]TABLO-1'!D1:D32873,"=KEŞAN")/P6</f>
        <v>0</v>
      </c>
      <c r="D56" s="10">
        <f>SUMIFS('[7]TABLO-1'!P1:P32873,'[7]TABLO-1'!H1:H32873,"=İletim",'[7]TABLO-1'!K1:K32873,"=Bildirimsiz",'[7]TABLO-1'!I1:I32873,"=Kısa",'[7]TABLO-1'!D1:D32873,"=KEŞAN")/P12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SUMIFS('[7]TABLO-1'!Q1:Q32873,'[7]TABLO-1'!H1:H32873,"=İletim",'[7]TABLO-1'!K1:K32873,"=Bildirimsiz",'[7]TABLO-1'!I1:I32873,"=Kısa",'[7]TABLO-1'!D1:D32873,"=KEŞAN")/P7</f>
        <v>0</v>
      </c>
      <c r="G56" s="10">
        <f>SUMIFS('[7]TABLO-1'!R1:R32873,'[7]TABLO-1'!H1:H32873,"=İletim",'[7]TABLO-1'!K1:K32873,"=Bildirimsiz",'[7]TABLO-1'!I1:I32873,"=Kısa",'[7]TABLO-1'!D1:D32873,"=KEŞAN")/P13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SUMIFS('[7]TABLO-1'!S1:S32873,'[7]TABLO-1'!H1:H32873,"=İletim",'[7]TABLO-1'!K1:K32873,"=Bildirimsiz",'[7]TABLO-1'!I1:I32873,"=Kısa",'[7]TABLO-1'!D1:D32873,"=KEŞAN")/P8</f>
        <v>0</v>
      </c>
      <c r="J56" s="10">
        <f>SUMIFS('[7]TABLO-1'!T1:T32873,'[7]TABLO-1'!H1:H32873,"=İletim",'[7]TABLO-1'!K1:K32873,"=Bildirimsiz",'[7]TABLO-1'!I1:I32873,"=Kısa",'[7]TABLO-1'!D1:D32873,"=KEŞAN")/P14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SUMIFS('[7]TABLO-1'!O4:O32873,'[7]TABLO-1'!H4:H32873,"=Dağıtım-OG",'[7]TABLO-1'!K4:K32873,"=Bildirimsiz",'[7]TABLO-1'!I4:I32873,"=Kısa",'[7]TABLO-1'!D4:D32873,"=KEŞAN")/P6</f>
        <v>0</v>
      </c>
      <c r="D57" s="10">
        <f>SUMIFS('[7]TABLO-1'!P4:P32873,'[7]TABLO-1'!H4:H32873,"=Dağıtım-OG",'[7]TABLO-1'!K4:K32873,"=Bildirimsiz",'[7]TABLO-1'!I4:I32873,"=Kısa",'[7]TABLO-1'!D4:D32873,"=KEŞAN")/P12</f>
        <v>9.3185789167152006E-5</v>
      </c>
      <c r="E57" s="10">
        <f>IFERROR((((C57*$P$6)+(D57*$P$12))/$P$17),"0,00")</f>
        <v>9.2511216985059433E-5</v>
      </c>
      <c r="F57" s="10">
        <f>SUMIFS('[7]TABLO-1'!Q4:Q32873,'[7]TABLO-1'!H4:H32873,"=Dağıtım-OG",'[7]TABLO-1'!K4:K32873,"=Bildirimsiz",'[7]TABLO-1'!I4:I32873,"=Kısa",'[7]TABLO-1'!D4:D32873,"=KEŞAN")/P7</f>
        <v>5.2631578947368418E-2</v>
      </c>
      <c r="G57" s="10">
        <f>SUMIFS('[7]TABLO-1'!R4:R32873,'[7]TABLO-1'!H4:H32873,"=Dağıtım-OG",'[7]TABLO-1'!K4:K32873,"=Bildirimsiz",'[7]TABLO-1'!I4:I32873,"=Kısa",'[7]TABLO-1'!D4:D32873,"=KEŞAN")/P13</f>
        <v>0.2427013717903623</v>
      </c>
      <c r="H57" s="10">
        <f>IFERROR((((F57*$P$7)+(G57*$P$13))/$P$20),"0,00")</f>
        <v>0.23896551724137932</v>
      </c>
      <c r="I57" s="10">
        <f>SUMIFS('[7]TABLO-1'!S4:S32873,'[7]TABLO-1'!H4:H32873,"=Dağıtım-OG",'[7]TABLO-1'!K4:K32873,"=Bildirimsiz",'[7]TABLO-1'!I4:I32873,"=Kısa",'[7]TABLO-1'!D4:D32873,"=KEŞAN")/P8</f>
        <v>1.6393442622950821E-2</v>
      </c>
      <c r="J57" s="10">
        <f>SUMIFS('[7]TABLO-1'!T4:T32873,'[7]TABLO-1'!H4:H32873,"=Dağıtım-OG",'[7]TABLO-1'!K4:K32873,"=Bildirimsiz",'[7]TABLO-1'!I4:I32873,"=Kısa",'[7]TABLO-1'!D4:D32873,"=KEŞAN")/P14</f>
        <v>7.4080507186590816E-2</v>
      </c>
      <c r="K57" s="10">
        <f>IFERROR((((I57*$P$8)+(J57*$P$14))/$P$23),"0,00")</f>
        <v>7.3178029493481511E-2</v>
      </c>
      <c r="L57" s="11">
        <f>IFERROR((((E57*$P$17)+(H57*$P$20)+(K57*$P$23))/$P$26),"0,00")</f>
        <v>3.4645420160211701E-2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SUMIFS('[7]TABLO-1'!O4:O32873,'[7]TABLO-1'!H4:H32873,"=Dağıtım-AG",'[7]TABLO-1'!K4:K32873,"=Bildirimsiz",'[7]TABLO-1'!I4:I32873,"=Kısa",'[7]TABLO-1'!D4:D32873,"=KEŞAN")/P6</f>
        <v>0</v>
      </c>
      <c r="D58" s="10">
        <f>SUMIFS('[7]TABLO-1'!P4:P32873,'[7]TABLO-1'!H4:H32873,"=Dağıtım-AG",'[7]TABLO-1'!K4:K32873,"=Bildirimsiz",'[7]TABLO-1'!I4:I32873,"=Kısa",'[7]TABLO-1'!D4:D32873,"=KEŞAN")/P12</f>
        <v>0</v>
      </c>
      <c r="E58" s="10">
        <f>IFERROR((((C58*$P$6)+(D58*$P$12))/$P$17),"0,00")</f>
        <v>0</v>
      </c>
      <c r="F58" s="10">
        <f>SUMIFS('[7]TABLO-1'!Q4:Q32873,'[7]TABLO-1'!H4:H32873,"=Dağıtım-AG",'[7]TABLO-1'!K4:K32873,"=Bildirimsiz",'[7]TABLO-1'!I4:I32873,"=Kısa",'[7]TABLO-1'!D4:D32873,"=KEŞAN")/P7</f>
        <v>0</v>
      </c>
      <c r="G58" s="10">
        <f>SUMIFS('[7]TABLO-1'!R4:R32873,'[7]TABLO-1'!H4:H32873,"=Dağıtım-AG",'[7]TABLO-1'!K4:K32873,"=Bildirimsiz",'[7]TABLO-1'!I4:I32873,"=Kısa",'[7]TABLO-1'!D4:D32873,"=KEŞAN")/P13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SUMIFS('[7]TABLO-1'!S4:S32873,'[7]TABLO-1'!H4:H32873,"=Dağıtım-AG",'[7]TABLO-1'!K4:K32873,"=Bildirimsiz",'[7]TABLO-1'!I4:I32873,"=Kısa",'[7]TABLO-1'!D4:D32873,"=KEŞAN")/P8</f>
        <v>0</v>
      </c>
      <c r="J58" s="10">
        <f>SUMIFS('[7]TABLO-1'!T4:T32873,'[7]TABLO-1'!H4:H32873,"=Dağıtım-AG",'[7]TABLO-1'!K4:K32873,"=Bildirimsiz",'[7]TABLO-1'!I4:I32873,"=Kısa",'[7]TABLO-1'!D4:D32873,"=KEŞAN")/P14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9.3185789167152006E-5</v>
      </c>
      <c r="E59" s="10">
        <f t="shared" si="20"/>
        <v>9.2511216985059433E-5</v>
      </c>
      <c r="F59" s="10">
        <f t="shared" si="20"/>
        <v>5.2631578947368418E-2</v>
      </c>
      <c r="G59" s="10">
        <f t="shared" si="20"/>
        <v>0.2427013717903623</v>
      </c>
      <c r="H59" s="10">
        <f t="shared" si="20"/>
        <v>0.23896551724137932</v>
      </c>
      <c r="I59" s="10">
        <f t="shared" si="20"/>
        <v>1.6393442622950821E-2</v>
      </c>
      <c r="J59" s="10">
        <f t="shared" si="20"/>
        <v>7.4080507186590816E-2</v>
      </c>
      <c r="K59" s="10">
        <f t="shared" si="20"/>
        <v>7.3178029493481511E-2</v>
      </c>
      <c r="L59" s="10">
        <f t="shared" si="20"/>
        <v>3.4645420160211701E-2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313</v>
      </c>
      <c r="D65" s="27">
        <f>P12</f>
        <v>42925</v>
      </c>
      <c r="E65" s="27">
        <f>C65+D65</f>
        <v>43238</v>
      </c>
      <c r="F65" s="17">
        <f>P7</f>
        <v>57</v>
      </c>
      <c r="G65" s="27">
        <f>P13</f>
        <v>2843</v>
      </c>
      <c r="H65" s="17">
        <f>SUM(F65:G65)</f>
        <v>2900</v>
      </c>
      <c r="I65" s="17">
        <f>P8</f>
        <v>366</v>
      </c>
      <c r="J65" s="27">
        <f>P14</f>
        <v>23029</v>
      </c>
      <c r="K65" s="17">
        <f>SUM(I65:J65)</f>
        <v>23395</v>
      </c>
      <c r="L65" s="17">
        <f>H65+E65+K65</f>
        <v>69533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İşletmecisi",'[7]TABLO-1'!K4:K32873,"=Bildirimsiz",'[7]TABLO-1'!I4:I32873,"=Uzun",'[7]TABLO-1'!D4:D32873,"=ENEZ")/P6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İşletmecisi",'[7]TABLO-1'!K4:K32873,"=Bildirimsiz",'[7]TABLO-1'!I4:I32873,"=Uzun",'[7]TABLO-1'!D4:D32873,"=ENEZ")/P12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İşletmecisi",'[7]TABLO-1'!K4:K32873,"=Bildirimsiz",'[7]TABLO-1'!I4:I32873,"=Uzun",'[7]TABLO-1'!D4:D32873,"=ENEZ")/P7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İşletmecisi",'[7]TABLO-1'!K4:K32873,"=Bildirimsiz",'[7]TABLO-1'!I4:I32873,"=Uzun",'[7]TABLO-1'!D4:D32873,"=ENEZ")/P13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İşletmecisi",'[7]TABLO-1'!K4:K32873,"=Bildirimsiz",'[7]TABLO-1'!I4:I32873,"=Uzun",'[7]TABLO-1'!D4:D32873,"=ENEZ")/P8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İşletmecisi",'[7]TABLO-1'!K4:K32873,"=Bildirimsiz",'[7]TABLO-1'!I4:I32873,"=Uzun",'[7]TABLO-1'!D4:D32873,"=ENEZ")/P14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Sebep",'[7]TABLO-1'!K4:K32873,"=Bildirimsiz",'[7]TABLO-1'!I4:I32873,"=Uzun",'[7]TABLO-1'!D4:D32873,"=ENEZ")/P6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Sebep",'[7]TABLO-1'!K4:K32873,"=Bildirimsiz",'[7]TABLO-1'!I4:I32873,"=Uzun",'[7]TABLO-1'!D4:D32873,"=ENEZ")/P12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Sebep",'[7]TABLO-1'!K4:K32873,"=Bildirimsiz",'[7]TABLO-1'!I4:I32873,"=Uzun",'[7]TABLO-1'!D4:D32873,"=ENEZ")/P7</f>
        <v>0</v>
      </c>
      <c r="H7" s="10">
        <f>SUMIFS('[7]TABLO-1'!X4:X32873,'[7]TABLO-1'!H4:H32873,"=İletim",'[7]TABLO-1'!J4:J32873,"=Mücbir Sebep",'[7]TABLO-1'!K4:K32873,"=Bildirimsiz",'[7]TABLO-1'!I4:I32873,"=Uzun",'[7]TABLO-1'!D4:D32873,"=ENEZ")/P13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Sebep",'[7]TABLO-1'!K4:K32873,"=Bildirimsiz",'[7]TABLO-1'!I4:I32873,"=Uzun",'[7]TABLO-1'!D4:D32873,"=ENEZ")/P8</f>
        <v>0</v>
      </c>
      <c r="K7" s="10">
        <f>SUMIFS('[7]TABLO-1'!Z4:Z32873,'[7]TABLO-1'!H4:H32873,"=İletim",'[7]TABLO-1'!J4:J32873,"=Mücbir Sebep",'[7]TABLO-1'!K4:K32873,"=Bildirimsiz",'[7]TABLO-1'!I4:I32873,"=Uzun",'[7]TABLO-1'!D4:D32873,"=ENEZ")/P14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51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İşletmecisi",'[7]TABLO-1'!K4:K32873,"=Bildirimsiz",'[7]TABLO-1'!I4:I32873,"=Uzun",'[7]TABLO-1'!D4:D32873,"=ENEZ")/P6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İşletmecisi",'[7]TABLO-1'!K4:K32873,"=Bildirimsiz",'[7]TABLO-1'!I4:I32873,"=Uzun",'[7]TABLO-1'!D4:D32873,"=ENEZ")/P12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İşletmecisi",'[7]TABLO-1'!K4:K32873,"=Bildirimsiz",'[7]TABLO-1'!I4:I32873,"=Uzun",'[7]TABLO-1'!D4:D32873,"=ENEZ")/P7</f>
        <v>123.48823530667954</v>
      </c>
      <c r="H8" s="10">
        <f>SUMIFS('[7]TABLO-1'!X4:X32873,'[7]TABLO-1'!H4:H32873,"=Dağıtım-OG",'[7]TABLO-1'!J4:J32873,"=Şebeke İşletmecisi",'[7]TABLO-1'!K4:K32873,"=Bildirimsiz",'[7]TABLO-1'!I4:I32873,"=Uzun",'[7]TABLO-1'!D4:D32873,"=ENEZ")/P13</f>
        <v>4.9704614768167277</v>
      </c>
      <c r="I8" s="10">
        <f t="shared" si="1"/>
        <v>5.7666161745673872</v>
      </c>
      <c r="J8" s="10">
        <f>SUMIFS('[7]TABLO-1'!Y4:Y32873,'[7]TABLO-1'!H4:H32873,"=Dağıtım-OG",'[7]TABLO-1'!J4:J32873,"=Şebeke İşletmecisi",'[7]TABLO-1'!K4:K32873,"=Bildirimsiz",'[7]TABLO-1'!I4:I32873,"=Uzun",'[7]TABLO-1'!D4:D32873,"=ENEZ")/P8</f>
        <v>45.514594129319278</v>
      </c>
      <c r="K8" s="10">
        <f>SUMIFS('[7]TABLO-1'!Z4:Z32873,'[7]TABLO-1'!H4:H32873,"=Dağıtım-OG",'[7]TABLO-1'!J4:J32873,"=Şebeke İşletmecisi",'[7]TABLO-1'!K4:K32873,"=Bildirimsiz",'[7]TABLO-1'!I4:I32873,"=Uzun",'[7]TABLO-1'!D4:D32873,"=ENEZ")/P14</f>
        <v>32.62549675021458</v>
      </c>
      <c r="L8" s="10">
        <f t="shared" si="2"/>
        <v>32.896831369997216</v>
      </c>
      <c r="M8" s="11">
        <f t="shared" si="3"/>
        <v>20.607297135886043</v>
      </c>
      <c r="O8" s="20" t="s">
        <v>36</v>
      </c>
      <c r="P8" s="53">
        <v>193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SUMIFS('[7]TABLO-1'!U4:U32873,'[7]TABLO-1'!H4:H32873,"=Dağıtım-OG",'[7]TABLO-1'!J4:J32873,"=Dışsal",'[7]TABLO-1'!K4:K32873,"=Bildirimsiz",'[7]TABLO-1'!I4:I32873,"=Uzun",'[7]TABLO-1'!D4:D32873,"=ENEZ")/P6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SUMIFS('[7]TABLO-1'!V4:V32873,'[7]TABLO-1'!H4:H32873,"=Dağıtım-OG",'[7]TABLO-1'!J4:J32873,"=Dışsal",'[7]TABLO-1'!K4:K32873,"=Bildirimsiz",'[7]TABLO-1'!I4:I32873,"=Uzun",'[7]TABLO-1'!D4:D32873,"=ENEZ")/P12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SUMIFS('[7]TABLO-1'!W4:W32873,'[7]TABLO-1'!H4:H32873,"=Dağıtım-OG",'[7]TABLO-1'!J4:J32873,"=Dışsal",'[7]TABLO-1'!K4:K32873,"=Bildirimsiz",'[7]TABLO-1'!I4:I32873,"=Uzun",'[7]TABLO-1'!D4:D32873,"=ENEZ")/P7</f>
        <v>0</v>
      </c>
      <c r="H9" s="10">
        <f>SUMIFS('[7]TABLO-1'!X4:X32873,'[7]TABLO-1'!H4:H32873,"=Dağıtım-OG",'[7]TABLO-1'!J4:J32873,"=Dışsal",'[7]TABLO-1'!K4:K32873,"=Bildirimsiz",'[7]TABLO-1'!I4:I32873,"=Uzun",'[7]TABLO-1'!D4:D32873,"=ENEZ")/P13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SUMIFS('[7]TABLO-1'!Y4:Y32873,'[7]TABLO-1'!H4:H32873,"=Dağıtım-OG",'[7]TABLO-1'!J4:J32873,"=Dışsal",'[7]TABLO-1'!K4:K32873,"=Bildirimsiz",'[7]TABLO-1'!I4:I32873,"=Uzun",'[7]TABLO-1'!D4:D32873,"=ENEZ")/P8</f>
        <v>0</v>
      </c>
      <c r="K9" s="10">
        <f>SUMIFS('[7]TABLO-1'!Z4:Z32873,'[7]TABLO-1'!H4:H32873,"=Dağıtım-OG",'[7]TABLO-1'!J4:J32873,"=Dışsal",'[7]TABLO-1'!K4:K32873,"=Bildirimsiz",'[7]TABLO-1'!I4:I32873,"=Uzun",'[7]TABLO-1'!D4:D32873,"=ENEZ")/P14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244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Sebep",'[7]TABLO-1'!K4:K32873,"=Bildirimsiz",'[7]TABLO-1'!I4:I32873,"=Uzun",'[7]TABLO-1'!D4:D32873,"=ENEZ")/P6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Sebep",'[7]TABLO-1'!K4:K32873,"=Bildirimsiz",'[7]TABLO-1'!I4:I32873,"=Uzun",'[7]TABLO-1'!D4:D32873,"=ENEZ")/P12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Sebep",'[7]TABLO-1'!K4:K32873,"=Bildirimsiz",'[7]TABLO-1'!I4:I32873,"=Uzun",'[7]TABLO-1'!D4:D32873,"=ENEZ")/P7</f>
        <v>0</v>
      </c>
      <c r="H10" s="10">
        <f>SUMIFS('[7]TABLO-1'!X4:X32873,'[7]TABLO-1'!H4:H32873,"=Dağıtım-OG",'[7]TABLO-1'!J4:J32873,"=Mücbir Sebep",'[7]TABLO-1'!K4:K32873,"=Bildirimsiz",'[7]TABLO-1'!I4:I32873,"=Uzun",'[7]TABLO-1'!D4:D32873,"=ENEZ")/P13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Sebep",'[7]TABLO-1'!K4:K32873,"=Bildirimsiz",'[7]TABLO-1'!I4:I32873,"=Uzun",'[7]TABLO-1'!D4:D32873,"=ENEZ")/P8</f>
        <v>0</v>
      </c>
      <c r="K10" s="10">
        <f>SUMIFS('[7]TABLO-1'!Z4:Z32873,'[7]TABLO-1'!H4:H32873,"=Dağıtım-OG",'[7]TABLO-1'!J4:J32873,"=Mücbir Sebep",'[7]TABLO-1'!K4:K32873,"=Bildirimsiz",'[7]TABLO-1'!I4:I32873,"=Uzun",'[7]TABLO-1'!D4:D32873,"=ENEZ")/P14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SUMIFS('[7]TABLO-1'!U4:U32873,'[7]TABLO-1'!H4:H32873,"=Dağıtım-OG",'[7]TABLO-1'!J4:J32873,"=Güvenlik",'[7]TABLO-1'!K4:K32873,"=Bildirimsiz",'[7]TABLO-1'!I4:I32873,"=Uzun",'[7]TABLO-1'!D4:D32873,"=ENEZ")/P6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SUMIFS('[7]TABLO-1'!V4:V32873,'[7]TABLO-1'!H4:H32873,"=Dağıtım-OG",'[7]TABLO-1'!J4:J32873,"=Güvenlik",'[7]TABLO-1'!K4:K32873,"=Bildirimsiz",'[7]TABLO-1'!I4:I32873,"=Uzun",'[7]TABLO-1'!D4:D32873,"=ENEZ")/P12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SUMIFS('[7]TABLO-1'!W4:W32873,'[7]TABLO-1'!H4:H32873,"=Dağıtım-OG",'[7]TABLO-1'!J4:J32873,"=Güvenlik",'[7]TABLO-1'!K4:K32873,"=Bildirimsiz",'[7]TABLO-1'!I4:I32873,"=Uzun",'[7]TABLO-1'!D4:D32873,"=ENEZ")/P7</f>
        <v>0</v>
      </c>
      <c r="H11" s="10">
        <f>SUMIFS('[7]TABLO-1'!X4:X32873,'[7]TABLO-1'!H4:H32873,"=Dağıtım-OG",'[7]TABLO-1'!J4:J32873,"=Güvenlik",'[7]TABLO-1'!K4:K32873,"=Bildirimsiz",'[7]TABLO-1'!I4:I32873,"=Uzun",'[7]TABLO-1'!D4:D32873,"=ENEZ")/P13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SUMIFS('[7]TABLO-1'!Y4:Y32873,'[7]TABLO-1'!H4:H32873,"=Dağıtım-OG",'[7]TABLO-1'!J4:J32873,"=Güvenlik",'[7]TABLO-1'!K4:K32873,"=Bildirimsiz",'[7]TABLO-1'!I4:I32873,"=Uzun",'[7]TABLO-1'!D4:D32873,"=ENEZ")/P8</f>
        <v>0</v>
      </c>
      <c r="K11" s="10">
        <f>SUMIFS('[7]TABLO-1'!Z4:Z32873,'[7]TABLO-1'!H4:H32873,"=Dağıtım-OG",'[7]TABLO-1'!J4:J32873,"=Güvenlik",'[7]TABLO-1'!K4:K32873,"=Bildirimsiz",'[7]TABLO-1'!I4:I32873,"=Uzun",'[7]TABLO-1'!D4:D32873,"=ENEZ")/P14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İşletmecisi",'[7]TABLO-1'!K4:K32873,"=Bildirimsiz",'[7]TABLO-1'!I4:I32873,"=Uzun",'[7]TABLO-1'!D4:D32873,"=ENEZ")/P6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işletmecisi",'[7]TABLO-1'!K4:K32873,"=Bildirimsiz",'[7]TABLO-1'!I4:I32873,"=Uzun",'[7]TABLO-1'!D4:D32873,"=ENEZ")/P12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İşletmecisi",'[7]TABLO-1'!K4:K32873,"=Bildirimsiz",'[7]TABLO-1'!I4:I32873,"=Uzun",'[7]TABLO-1'!D4:D32873,"=ENEZ")/P7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İşletmecisi",'[7]TABLO-1'!K4:K32873,"=Bildirimsiz",'[7]TABLO-1'!I4:I32873,"=Uzun",'[7]TABLO-1'!D4:D32873,"=ENEZ")/P13</f>
        <v>1.3903991513965031</v>
      </c>
      <c r="I12" s="10">
        <f t="shared" si="1"/>
        <v>1.3810590095733706</v>
      </c>
      <c r="J12" s="12">
        <f>SUMIFS('[7]TABLO-1'!Y4:Y32873,'[7]TABLO-1'!H4:H32873,"=Dağıtım-AG",'[7]TABLO-1'!J4:J32873,"=Şebeke İşletmecisi",'[7]TABLO-1'!K4:K32873,"=Bildirimsiz",'[7]TABLO-1'!I4:I32873,"=Uzun",'[7]TABLO-1'!D4:D32873,"=ENEZ")/P8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İşletmecisi",'[7]TABLO-1'!K4:K32873,"=Bildirimsiz",'[7]TABLO-1'!I4:I32873,"=Uzun",'[7]TABLO-1'!D4:D32873,"=ENEZ")/P14</f>
        <v>3.2539962860594782</v>
      </c>
      <c r="L12" s="10">
        <f t="shared" si="2"/>
        <v>3.1854948371928247</v>
      </c>
      <c r="M12" s="11">
        <f t="shared" si="3"/>
        <v>2.3681155529871627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SUMIFS('[7]TABLO-1'!U4:U32873,'[7]TABLO-1'!H4:H32873,"=Dağıtım-AG",'[7]TABLO-1'!J4:J32873,"=Dışsal",'[7]TABLO-1'!K4:K32873,"=Bildirimsiz",'[7]TABLO-1'!I4:I32873,"=Uzun",'[7]TABLO-1'!D4:D32873,"=ENEZ")/P6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SUMIFS('[7]TABLO-1'!V4:V32873,'[7]TABLO-1'!H4:H32873,"=Dağıtım-AG",'[7]TABLO-1'!J4:J32873,"=Dışsal",'[7]TABLO-1'!K4:K32873,"=Bildirimsiz",'[7]TABLO-1'!I4:I32873,"=Uzun",'[7]TABLO-1'!D4:D32873,"=ENEZ")/P12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SUMIFS('[7]TABLO-1'!W4:W32873,'[7]TABLO-1'!H4:H32873,"=Dağıtım-AG",'[7]TABLO-1'!J4:J32873,"=Dışsal",'[7]TABLO-1'!K4:K32873,"=Bildirimsiz",'[7]TABLO-1'!I4:I32873,"=Uzun",'[7]TABLO-1'!D4:D32873,"=ENEZ")/P7</f>
        <v>0</v>
      </c>
      <c r="H13" s="10">
        <f>SUMIFS('[7]TABLO-1'!X4:X32873,'[7]TABLO-1'!H4:H32873,"=Dağıtım-AG",'[7]TABLO-1'!J4:J32873,"=Dışsal",'[7]TABLO-1'!K4:K32873,"=Bildirimsiz",'[7]TABLO-1'!I4:I32873,"=Uzun",'[7]TABLO-1'!D4:D32873,"=ENEZ")/P13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SUMIFS('[7]TABLO-1'!Y4:Y32873,'[7]TABLO-1'!H4:H32873,"=Dağıtım-AG",'[7]TABLO-1'!J4:J32873,"=Dışsal",'[7]TABLO-1'!K4:K32873,"=Bildirimsiz",'[7]TABLO-1'!I4:I32873,"=Uzun",'[7]TABLO-1'!D4:D32873,"=ENEZ")/P8</f>
        <v>0</v>
      </c>
      <c r="K13" s="10">
        <f>SUMIFS('[7]TABLO-1'!Z4:Z32873,'[7]TABLO-1'!H4:H32873,"=Dağıtım-AG",'[7]TABLO-1'!J4:J32873,"=Dışsal",'[7]TABLO-1'!K4:K32873,"=Bildirimsiz",'[7]TABLO-1'!I4:I32873,"=Uzun",'[7]TABLO-1'!D4:D32873,"=ENEZ")/P14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7541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Sebep",'[7]TABLO-1'!K4:K32873,"=Bildirimsiz",'[7]TABLO-1'!I4:I32873,"=Uzun",'[7]TABLO-1'!D4:D32873,"=ENEZ")/P6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Sebep",'[7]TABLO-1'!K4:K32873,"=Bildirimsiz",'[7]TABLO-1'!I4:I32873,"=Uzun",'[7]TABLO-1'!D4:D32873,"=ENEZ")/P12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Sebep",'[7]TABLO-1'!K4:K32873,"=Bildirimsiz",'[7]TABLO-1'!I4:I32873,"=Uzun",'[7]TABLO-1'!D4:D32873,"=ENEZ")/P7</f>
        <v>0</v>
      </c>
      <c r="H14" s="10">
        <f>SUMIFS('[7]TABLO-1'!X4:X32873,'[7]TABLO-1'!H4:H32873,"=Dağıtım-AG",'[7]TABLO-1'!J4:J32873,"=Mücbir Sebep",'[7]TABLO-1'!K4:K32873,"=Bildirimsiz",'[7]TABLO-1'!I4:I32873,"=Uzun",'[7]TABLO-1'!D4:D32873,"=ENEZ")/P13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Sebep",'[7]TABLO-1'!K4:K32873,"=Bildirimsiz",'[7]TABLO-1'!I4:I32873,"=Uzun",'[7]TABLO-1'!D4:D32873,"=ENEZ")/P8</f>
        <v>0</v>
      </c>
      <c r="K14" s="10">
        <f>SUMIFS('[7]TABLO-1'!Z4:Z32873,'[7]TABLO-1'!H4:H32873,"=Dağıtım-AG",'[7]TABLO-1'!J4:J32873,"=Mücbir Sebep",'[7]TABLO-1'!K4:K32873,"=Bildirimsiz",'[7]TABLO-1'!I4:I32873,"=Uzun",'[7]TABLO-1'!D4:D32873,"=ENEZ")/P14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8975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SUMIFS('[7]TABLO-1'!U4:U32873,'[7]TABLO-1'!H4:H32873,"=Dağıtım-AG",'[7]TABLO-1'!J4:J32873,"=Güvenlik",'[7]TABLO-1'!K4:K32873,"=Bildirimsiz",'[7]TABLO-1'!I4:I32873,"=Uzun",'[7]TABLO-1'!D4:D32873,"=ENEZ")/P6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SUMIFS('[7]TABLO-1'!V4:V32873,'[7]TABLO-1'!H4:H32873,"=Dağıtım-AG",'[7]TABLO-1'!J4:J32873,"=Güvenlik",'[7]TABLO-1'!K4:K32873,"=Bildirimsiz",'[7]TABLO-1'!I4:I32873,"=Uzun",'[7]TABLO-1'!D4:D32873,"=ENEZ")/P12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SUMIFS('[7]TABLO-1'!W4:W32873,'[7]TABLO-1'!H4:H32873,"=Dağıtım-AG",'[7]TABLO-1'!J4:J32873,"=Güvenlik",'[7]TABLO-1'!K4:K32873,"=Bildirimsiz",'[7]TABLO-1'!I4:I32873,"=Uzun",'[7]TABLO-1'!D4:D32873,"=ENEZ")/P7</f>
        <v>0</v>
      </c>
      <c r="H15" s="10">
        <f>SUMIFS('[7]TABLO-1'!X4:X32873,'[7]TABLO-1'!H4:H32873,"=Dağıtım-AG",'[7]TABLO-1'!J4:J32873,"=Güvenlik",'[7]TABLO-1'!K4:K32873,"=Bildirimsiz",'[7]TABLO-1'!I4:I32873,"=Uzun",'[7]TABLO-1'!D4:D32873,"=ENEZ")/P13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SUMIFS('[7]TABLO-1'!Y4:Y32873,'[7]TABLO-1'!H4:H32873,"=Dağıtım-AG",'[7]TABLO-1'!J4:J32873,"=Güvenlik",'[7]TABLO-1'!K4:K32873,"=Bildirimsiz",'[7]TABLO-1'!I4:I32873,"=Uzun",'[7]TABLO-1'!D4:D32873,"=ENEZ")/P8</f>
        <v>0</v>
      </c>
      <c r="K15" s="10">
        <f>SUMIFS('[7]TABLO-1'!Z4:Z32873,'[7]TABLO-1'!H4:H32873,"=Dağıtım-AG",'[7]TABLO-1'!J4:J32873,"=Güvenlik",'[7]TABLO-1'!K4:K32873,"=Bildirimsiz",'[7]TABLO-1'!I4:I32873,"=Uzun",'[7]TABLO-1'!D4:D32873,"=ENEZ")/P14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16516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123.48823530667954</v>
      </c>
      <c r="H16" s="10">
        <f t="shared" si="4"/>
        <v>6.3608606282132305</v>
      </c>
      <c r="I16" s="10">
        <f t="shared" si="4"/>
        <v>7.1476751841407573</v>
      </c>
      <c r="J16" s="10">
        <f>SUM(J6:J15)</f>
        <v>45.514594129319278</v>
      </c>
      <c r="K16" s="10">
        <f>SUM(K6:K15)</f>
        <v>35.879493036274056</v>
      </c>
      <c r="L16" s="10">
        <f>SUM(L6:L15)</f>
        <v>36.082326207190043</v>
      </c>
      <c r="M16" s="11">
        <f t="shared" si="4"/>
        <v>22.975412688873206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7592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İşletmecisi",'[7]TABLO-1'!K4:K32873,"=Bildirimli",'[7]TABLO-1'!I4:I32873,"=Uzun",'[7]TABLO-1'!D4:D32873,"=ENEZ")/P6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İşletmecisi",'[7]TABLO-1'!K4:K32873,"=Bildirimli",'[7]TABLO-1'!I4:I32873,"=Uzun",'[7]TABLO-1'!D4:D32873,"=ENEZ")/P12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İşletmecisi",'[7]TABLO-1'!K4:K32873,"=Bildirimli",'[7]TABLO-1'!I4:I32873,"=Uzun",'[7]TABLO-1'!D4:D32873,"=ENEZ")/P7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İşletmecisi",'[7]TABLO-1'!K4:K32873,"=Bildirimli",'[7]TABLO-1'!I4:I32873,"=Uzun",'[7]TABLO-1'!D4:D32873,"=ENEZ")/P13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İşletmecisi",'[7]TABLO-1'!K4:K32873,"=Bildirimli",'[7]TABLO-1'!I4:I32873,"=Uzun",'[7]TABLO-1'!D4:D32873,"=ENEZ")/P8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İşletmecisi",'[7]TABLO-1'!K4:K32873,"=Bildirimli",'[7]TABLO-1'!I4:I32873,"=Uzun",'[7]TABLO-1'!D4:D32873,"=ENEZ")/P14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İşletmecisi",'[7]TABLO-1'!K4:K32873,"=Bildirimli",'[7]TABLO-1'!I4:I32873,"=Uzun",'[7]TABLO-1'!D4:D32873,"=ENEZ")/P6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İşletmecisi",'[7]TABLO-1'!K4:K32873,"=Bildirimli",'[7]TABLO-1'!I4:I32873,"=Uzun",'[7]TABLO-1'!D4:D32873,"=ENEZ")/P12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İşletmecisi",'[7]TABLO-1'!K4:K32873,"=Bildirimli",'[7]TABLO-1'!I4:I32873,"=Uzun",'[7]TABLO-1'!D4:D32873,"=ENEZ")/P7</f>
        <v>4.9326797385070034</v>
      </c>
      <c r="H22" s="10">
        <f>SUMIFS('[7]TABLO-1'!X4:X32873,'[7]TABLO-1'!H4:H32873,"=Dağıtım-OG",'[7]TABLO-1'!J4:J32873,"=Şebeke İşletmecisi",'[7]TABLO-1'!K4:K32873,"=Bildirimli",'[7]TABLO-1'!I4:I32873,"=Uzun",'[7]TABLO-1'!D4:D32873,"=ENEZ")/P13</f>
        <v>155.59152190109535</v>
      </c>
      <c r="I22" s="10">
        <f t="shared" ref="I22:I25" si="6">IFERROR((((G22*$P$7)+(H22*$P$13))/$P$20),"0,00")</f>
        <v>154.57945644399683</v>
      </c>
      <c r="J22" s="10">
        <f>SUMIFS('[7]TABLO-1'!Y4:Y32873,'[7]TABLO-1'!H4:H32873,"=Dağıtım-OG",'[7]TABLO-1'!J4:J32873,"=Şebeke İşletmecisi",'[7]TABLO-1'!K4:K32873,"=Bildirimli",'[7]TABLO-1'!I4:I32873,"=Uzun",'[7]TABLO-1'!D4:D32873,"=ENEZ")/P8</f>
        <v>3.4790155440303523</v>
      </c>
      <c r="K22" s="10">
        <f>SUMIFS('[7]TABLO-1'!Z4:Z32873,'[7]TABLO-1'!H4:H32873,"=Dağıtım-OG",'[7]TABLO-1'!J4:J32873,"=Şebeke İşletmecisi",'[7]TABLO-1'!K4:K32873,"=Bildirimli",'[7]TABLO-1'!I4:I32873,"=Uzun",'[7]TABLO-1'!D4:D32873,"=ENEZ")/P14</f>
        <v>0.75598885793275195</v>
      </c>
      <c r="L22" s="10">
        <f t="shared" ref="L22:L25" si="7">IFERROR((((J22*$P$8)+(K22*$P$14))/$P$23),"0,00")</f>
        <v>0.81331260906896885</v>
      </c>
      <c r="M22" s="11">
        <f t="shared" ref="M22:M25" si="8">IFERROR((((F22*$P$17)+(I22*$P$20)+(L22*$P$23))/$P$26),"0,00")</f>
        <v>70.466806880833431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SUMIFS('[7]TABLO-1'!U4:U32873,'[7]TABLO-1'!H4:H32873,"=Dağıtım-OG",'[7]TABLO-1'!J4:J32873,"=Güvenlik",'[7]TABLO-1'!K4:K32873,"=Bildirimli",'[7]TABLO-1'!I4:I32873,"=Uzun",'[7]TABLO-1'!D4:D32873,"=ENEZ")/P6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SUMIFS('[7]TABLO-1'!V4:V32873,'[7]TABLO-1'!H4:H32873,"=Dağıtım-OG",'[7]TABLO-1'!J4:J32873,"=Güvenlik",'[7]TABLO-1'!K4:K32873,"=Bildirimli",'[7]TABLO-1'!I4:I32873,"=Uzun",'[7]TABLO-1'!D4:D32873,"=ENEZ")/P12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SUMIFS('[7]TABLO-1'!W4:W32873,'[7]TABLO-1'!H4:H32873,"=Dağıtım-OG",'[7]TABLO-1'!J4:J32873,"=Güvenlik",'[7]TABLO-1'!K4:K32873,"=Bildirimli",'[7]TABLO-1'!I4:I32873,"=Uzun",'[7]TABLO-1'!D4:D32873,"=ENEZ")/P7</f>
        <v>0</v>
      </c>
      <c r="H23" s="10">
        <f>SUMIFS('[7]TABLO-1'!X4:X32873,'[7]TABLO-1'!H4:H32873,"=Dağıtım-OG",'[7]TABLO-1'!J4:J32873,"=Güvenlik",'[7]TABLO-1'!K4:K32873,"=Bildirimli",'[7]TABLO-1'!I4:I32873,"=Uzun",'[7]TABLO-1'!D4:D32873,"=ENEZ")/P13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SUMIFS('[7]TABLO-1'!Y4:Y32873,'[7]TABLO-1'!H4:H32873,"=Dağıtım-OG",'[7]TABLO-1'!J4:J32873,"=Güvenlik",'[7]TABLO-1'!K4:K32873,"=Bildirimli",'[7]TABLO-1'!I4:I32873,"=Uzun",'[7]TABLO-1'!D4:D32873,"=ENEZ")/P8</f>
        <v>0</v>
      </c>
      <c r="K23" s="10">
        <f>SUMIFS('[7]TABLO-1'!Z4:Z32873,'[7]TABLO-1'!H4:H32873,"=Dağıtım-OG",'[7]TABLO-1'!J4:J32873,"=Güvenlik",'[7]TABLO-1'!K4:K32873,"=Bildirimli",'[7]TABLO-1'!I4:I32873,"=Uzun",'[7]TABLO-1'!D4:D32873,"=ENEZ")/P14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9168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İşletmecisi",'[7]TABLO-1'!K4:K32873,"=Bildirimli",'[7]TABLO-1'!I4:I32873,"=Uzun",'[7]TABLO-1'!D4:D32873,"=ENEZ")/P6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İşletmecisi",'[7]TABLO-1'!K4:K32873,"=Bildirimli",'[7]TABLO-1'!I4:I32873,"=Uzun",'[7]TABLO-1'!D4:D32873,"=ENEZ")/P12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İşletmecisi",'[7]TABLO-1'!K4:K32873,"=Bildirimli",'[7]TABLO-1'!I4:I32873,"=Uzun",'[7]TABLO-1'!D4:D32873,"=ENEZ")/P7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İşletmecisi",'[7]TABLO-1'!K4:K32873,"=Bildirimli",'[7]TABLO-1'!I4:I32873,"=Uzun",'[7]TABLO-1'!D4:D32873,"=ENEZ")/P13</f>
        <v>103.56789108489183</v>
      </c>
      <c r="I24" s="10">
        <f t="shared" si="6"/>
        <v>102.87216368166087</v>
      </c>
      <c r="J24" s="12">
        <f>SUMIFS('[7]TABLO-1'!Y4:Y32873,'[7]TABLO-1'!H4:H32873,"=Dağıtım-AG",'[7]TABLO-1'!J4:J32873,"=Şebeke İşletmecisi",'[7]TABLO-1'!K4:K32873,"=Bildirimli",'[7]TABLO-1'!I4:I32873,"=Uzun",'[7]TABLO-1'!D4:D32873,"=ENEZ")/P8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İşletmecisi",'[7]TABLO-1'!K4:K32873,"=Bildirimli",'[7]TABLO-1'!I4:I32873,"=Uzun",'[7]TABLO-1'!D4:D32873,"=ENEZ")/P14</f>
        <v>0.40100464252327001</v>
      </c>
      <c r="L24" s="10">
        <f t="shared" si="7"/>
        <v>0.39256289993961041</v>
      </c>
      <c r="M24" s="11">
        <f t="shared" si="8"/>
        <v>46.814109984356541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SUMIFS('[7]TABLO-1'!U4:U32873,'[7]TABLO-1'!H4:H32873,"=Dağıtım-AG",'[7]TABLO-1'!J4:J32873,"=Güvenlik",'[7]TABLO-1'!K4:K32873,"=Bildirimli",'[7]TABLO-1'!I4:I32873,"=Uzun",'[7]TABLO-1'!D4:D32873,"=ENEZ")/P6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SUMIFS('[7]TABLO-1'!V4:V32873,'[7]TABLO-1'!H4:H32873,"=Dağıtım-AG",'[7]TABLO-1'!J4:J32873,"=Güvenlik",'[7]TABLO-1'!K4:K32873,"=Bildirimli",'[7]TABLO-1'!I4:I32873,"=Uzun",'[7]TABLO-1'!D4:D32873,"=ENEZ")/P12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SUMIFS('[7]TABLO-1'!W4:W32873,'[7]TABLO-1'!H4:H32873,"=Dağıtım-AG",'[7]TABLO-1'!J4:J32873,"=Güvenlik",'[7]TABLO-1'!K4:K32873,"=Bildirimli",'[7]TABLO-1'!I4:I32873,"=Uzun",'[7]TABLO-1'!D4:D32873,"=ENEZ")/P7</f>
        <v>0</v>
      </c>
      <c r="H25" s="10">
        <f>SUMIFS('[7]TABLO-1'!X4:X32873,'[7]TABLO-1'!H4:H32873,"=Dağıtım-AG",'[7]TABLO-1'!J4:J32873,"=Güvenlik",'[7]TABLO-1'!K4:K32873,"=Bildirimli",'[7]TABLO-1'!I4:I32873,"=Uzun",'[7]TABLO-1'!D4:D32873,"=ENEZ")/P13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SUMIFS('[7]TABLO-1'!Y4:Y32873,'[7]TABLO-1'!H4:H32873,"=Dağıtım-AG",'[7]TABLO-1'!J4:J32873,"=Güvenlik",'[7]TABLO-1'!K4:K32873,"=Bildirimli",'[7]TABLO-1'!I4:I32873,"=Uzun",'[7]TABLO-1'!D4:D32873,"=ENEZ")/P8</f>
        <v>0</v>
      </c>
      <c r="K25" s="10">
        <f>SUMIFS('[7]TABLO-1'!Z4:Z32873,'[7]TABLO-1'!H4:H32873,"=Dağıtım-AG",'[7]TABLO-1'!J4:J32873,"=Güvenlik",'[7]TABLO-1'!K4:K32873,"=Bildirimli",'[7]TABLO-1'!I4:I32873,"=Uzun",'[7]TABLO-1'!D4:D32873,"=ENEZ")/P14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4.9326797385070034</v>
      </c>
      <c r="H26" s="10">
        <f t="shared" si="9"/>
        <v>259.15941298598716</v>
      </c>
      <c r="I26" s="10">
        <f t="shared" si="9"/>
        <v>257.45162012565771</v>
      </c>
      <c r="J26" s="10">
        <f t="shared" si="9"/>
        <v>3.4790155440303523</v>
      </c>
      <c r="K26" s="10">
        <f t="shared" si="9"/>
        <v>1.1569935004560219</v>
      </c>
      <c r="L26" s="10">
        <f t="shared" si="9"/>
        <v>1.2058755090085793</v>
      </c>
      <c r="M26" s="11">
        <f t="shared" si="9"/>
        <v>117.28091686518997</v>
      </c>
      <c r="O26" s="43" t="s">
        <v>22</v>
      </c>
      <c r="P26" s="44">
        <f>P20+P17+P23</f>
        <v>16760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İşletmecisi",'[7]TABLO-1'!K4:K32873,"=Bildirimsiz",'[7]TABLO-1'!I4:I32873,"=Uzun",'[7]TABLO-1'!D4:D32873,"=ENEZ")/P6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İşletmecisi",'[7]TABLO-1'!K4:K32873,"=Bildirimsiz",'[7]TABLO-1'!I4:I32873,"=Uzun",'[7]TABLO-1'!D4:D32873,"=ENEZ")/P12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İşletmecisi",'[7]TABLO-1'!K4:K32873,"=Bildirimsiz",'[7]TABLO-1'!I4:I32873,"=Uzun",'[7]TABLO-1'!D4:D32873,"=ENEZ")/P7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İşletmecisi",'[7]TABLO-1'!K4:K32873,"=Bildirimsiz",'[7]TABLO-1'!I4:I32873,"=Uzun",'[7]TABLO-1'!D4:D32873,"=ENEZ")/P13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İşletmecisi",'[7]TABLO-1'!K4:K32873,"=Bildirimsiz",'[7]TABLO-1'!I4:I32873,"=Uzun",'[7]TABLO-1'!D4:D32873,"=ENEZ")/P8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İşletmecisi",'[7]TABLO-1'!K4:K32873,"=bildirimsiz",'[7]TABLO-1'!I4:I32873,"=Uzun",'[7]TABLO-1'!D4:D32873,"=ENEZ")/P14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Sebep",'[7]TABLO-1'!K4:K32873,"=Bildirimsiz",'[7]TABLO-1'!I4:I32873,"=Uzun",'[7]TABLO-1'!D4:D32873,"=ENEZ")/P6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Sebep",'[7]TABLO-1'!K4:K32873,"=Bildirimsiz",'[7]TABLO-1'!I4:I32873,"=Uzun",'[7]TABLO-1'!D4:D32873,"=ENEZ")/P12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Sebep",'[7]TABLO-1'!K4:K32873,"=Bildirimsiz",'[7]TABLO-1'!I4:I32873,"=Uzun",'[7]TABLO-1'!D4:D32873,"=ENEZ")/P7</f>
        <v>0</v>
      </c>
      <c r="H32" s="10">
        <f>SUMIFS('[7]TABLO-1'!R4:R32873,'[7]TABLO-1'!H4:H32873,"=İletim",'[7]TABLO-1'!J4:J32873,"=Mücbir Sebep",'[7]TABLO-1'!K4:K32873,"=Bildirimsiz",'[7]TABLO-1'!I4:I32873,"=Uzun",'[7]TABLO-1'!D4:D32873,"=ENEZ")/P13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Sebep",'[7]TABLO-1'!K4:K32873,"=Bildirimsiz",'[7]TABLO-1'!I4:I32873,"=Uzun",'[7]TABLO-1'!D4:D32873,"=ENEZ")/P8</f>
        <v>0</v>
      </c>
      <c r="K32" s="10">
        <f>SUMIFS('[7]TABLO-1'!T4:T32873,'[7]TABLO-1'!H4:H32873,"=İletim",'[7]TABLO-1'!J4:J32873,"=Mücbir Sebep",'[7]TABLO-1'!K4:K32873,"=bildirimsiz",'[7]TABLO-1'!I4:I32873,"=Uzun",'[7]TABLO-1'!D4:D32873,"=ENEZ")/P14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İşletmecisi",'[7]TABLO-1'!K4:K32873,"=Bildirimsiz",'[7]TABLO-1'!I4:I32873,"=Uzun",'[7]TABLO-1'!D4:D32873,"=ENEZ")/P6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İşletmecisi",'[7]TABLO-1'!K4:K32873,"=Bildirimsiz",'[7]TABLO-1'!I4:I32873,"=Uzun",'[7]TABLO-1'!D4:D32873,"=ENEZ")/P12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İşletmecisi",'[7]TABLO-1'!K4:K32873,"=Bildirimsiz",'[7]TABLO-1'!I4:I32873,"=Uzun",'[7]TABLO-1'!D4:D32873,"=ENEZ")/P7</f>
        <v>2</v>
      </c>
      <c r="H33" s="10">
        <f>SUMIFS('[7]TABLO-1'!R4:R32873,'[7]TABLO-1'!H4:H32873,"=Dağıtım-OG",'[7]TABLO-1'!J4:J32873,"=Şebeke İşletmecisi",'[7]TABLO-1'!K4:K32873,"=Bildirimsiz",'[7]TABLO-1'!I4:I32873,"=Uzun",'[7]TABLO-1'!D4:D32873,"=ENEZ")/P13</f>
        <v>0.16615833443840339</v>
      </c>
      <c r="I33" s="10">
        <f t="shared" si="11"/>
        <v>0.178477344573235</v>
      </c>
      <c r="J33" s="10">
        <f>SUMIFS('[7]TABLO-1'!S4:S32873,'[7]TABLO-1'!H4:H32873,"=Dağıtım-OG",'[7]TABLO-1'!J4:J32873,"=Şebeke İşletmecisi",'[7]TABLO-1'!K4:K32873,"=Bildirimsiz",'[7]TABLO-1'!I4:I32873,"=Uzun",'[7]TABLO-1'!D4:D32873,"=ENEZ")/P8</f>
        <v>0.95336787564766834</v>
      </c>
      <c r="K33" s="10">
        <f>SUMIFS('[7]TABLO-1'!T4:T32873,'[7]TABLO-1'!H4:H32873,"=Dağıtım-OG",'[7]TABLO-1'!J4:J32873,"=Şebeke İşletmecisi",'[7]TABLO-1'!K4:K32873,"=bildirimsiz",'[7]TABLO-1'!I4:I32873,"=Uzun",'[7]TABLO-1'!D4:D32873,"=ENEZ")/P14</f>
        <v>0.37749303621169916</v>
      </c>
      <c r="L33" s="10">
        <f t="shared" si="12"/>
        <v>0.38961605584642234</v>
      </c>
      <c r="M33" s="11">
        <f t="shared" si="13"/>
        <v>0.29397374701670642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SUMIFS('[7]TABLO-1'!O4:O32873,'[7]TABLO-1'!H4:H32873,"=Dağıtım-OG",'[7]TABLO-1'!J4:J32873,"=Dışsal",'[7]TABLO-1'!K4:K32873,"=Bildirimsiz",'[7]TABLO-1'!I4:I32873,"=Uzun",'[7]TABLO-1'!D4:D32873,"=ENEZ")/P6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SUMIFS('[7]TABLO-1'!P4:P32873,'[7]TABLO-1'!H4:H32873,"=Dağıtım-OG",'[7]TABLO-1'!J4:J32873,"=Dışsal",'[7]TABLO-1'!K4:K32873,"=Bildirimsiz",'[7]TABLO-1'!I4:I32873,"=Uzun",'[7]TABLO-1'!D4:D32873,"=ENEZ")/P12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SUMIFS('[7]TABLO-1'!Q4:Q32873,'[7]TABLO-1'!H4:H32873,"=Dağıtım-OG",'[7]TABLO-1'!J4:J32873,"=Dışsal",'[7]TABLO-1'!K4:K32873,"=Bildirimsiz",'[7]TABLO-1'!I4:I32873,"=Uzun",'[7]TABLO-1'!D4:D32873,"=ENEZ")/P7</f>
        <v>0</v>
      </c>
      <c r="H34" s="10">
        <f>SUMIFS('[7]TABLO-1'!R4:R32873,'[7]TABLO-1'!H4:H32873,"=Dağıtım-OG",'[7]TABLO-1'!J4:J32873,"=Dışsal",'[7]TABLO-1'!K4:K32873,"=Bildirimsiz",'[7]TABLO-1'!I4:I32873,"=Uzun",'[7]TABLO-1'!D4:D32873,"=ENEZ")/P13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SUMIFS('[7]TABLO-1'!S4:S32873,'[7]TABLO-1'!H4:H32873,"=Dağıtım-OG",'[7]TABLO-1'!J4:J32873,"=Dışsal",'[7]TABLO-1'!K4:K32873,"=Bildirimsiz",'[7]TABLO-1'!I4:I32873,"=Uzun",'[7]TABLO-1'!D4:D32873,"=ENEZ")/P8</f>
        <v>0</v>
      </c>
      <c r="K34" s="10">
        <f>SUMIFS('[7]TABLO-1'!T4:T32873,'[7]TABLO-1'!H4:H32873,"=Dağıtım-OG",'[7]TABLO-1'!J4:J32873,"=Dışsal",'[7]TABLO-1'!K4:K32873,"=bildirimsiz",'[7]TABLO-1'!I4:I32873,"=Uzun",'[7]TABLO-1'!D4:D32873,"=ENEZ")/P14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Sebep",'[7]TABLO-1'!K4:K32873,"=Bildirimsiz",'[7]TABLO-1'!I4:I32873,"=Uzun",'[7]TABLO-1'!D4:D32873,"=ENEZ")/P6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Sebep",'[7]TABLO-1'!K4:K32873,"=Bildirimsiz",'[7]TABLO-1'!I4:I32873,"=Uzun",'[7]TABLO-1'!D4:D32873,"=ENEZ")/P12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Sebep",'[7]TABLO-1'!K4:K32873,"=Bildirimsiz",'[7]TABLO-1'!I4:I32873,"=Uzun",'[7]TABLO-1'!D4:D32873,"=ENEZ")/P7</f>
        <v>0</v>
      </c>
      <c r="H35" s="10">
        <f>SUMIFS('[7]TABLO-1'!R4:R32873,'[7]TABLO-1'!H4:H32873,"=Dağıtım-OG",'[7]TABLO-1'!J4:J32873,"=Mücbir Sebep",'[7]TABLO-1'!K4:K32873,"=Bildirimsiz",'[7]TABLO-1'!I4:I32873,"=Uzun",'[7]TABLO-1'!D4:D32873,"=ENEZ")/P13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Sebep",'[7]TABLO-1'!K4:K32873,"=Bildirimsiz",'[7]TABLO-1'!I4:I32873,"=Uzun",'[7]TABLO-1'!D4:D32873,"=ENEZ")/P8</f>
        <v>0</v>
      </c>
      <c r="K35" s="10">
        <f>SUMIFS('[7]TABLO-1'!T4:T32873,'[7]TABLO-1'!H4:H32873,"=Dağıtım-OG",'[7]TABLO-1'!J4:J32873,"=Mücbir Sebep",'[7]TABLO-1'!K4:K32873,"=bildirimsiz",'[7]TABLO-1'!I4:I32873,"=Uzun",'[7]TABLO-1'!D4:D32873,"=ENEZ")/P14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SUMIFS('[7]TABLO-1'!O4:O32873,'[7]TABLO-1'!H4:H32873,"=Dağıtım-OG",'[7]TABLO-1'!J4:J32873,"=Güvenlik",'[7]TABLO-1'!K4:K32873,"=Bildirimsiz",'[7]TABLO-1'!I4:I32873,"=Uzun",'[7]TABLO-1'!D4:D32873,"=ENEZ")/P6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SUMIFS('[7]TABLO-1'!P4:P32873,'[7]TABLO-1'!H4:H32873,"=Dağıtım-OG",'[7]TABLO-1'!J4:J32873,"=Güvenlik",'[7]TABLO-1'!K4:K32873,"=Bildirimsiz",'[7]TABLO-1'!I4:I32873,"=Uzun",'[7]TABLO-1'!D4:D32873,"=ENEZ")/P12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SUMIFS('[7]TABLO-1'!Q4:Q32873,'[7]TABLO-1'!H4:H32873,"=Dağıtım-OG",'[7]TABLO-1'!J4:J32873,"=Güvenlik",'[7]TABLO-1'!K4:K32873,"=Bildirimsiz",'[7]TABLO-1'!I4:I32873,"=Uzun",'[7]TABLO-1'!D4:D32873,"=ENEZ")/P7</f>
        <v>0</v>
      </c>
      <c r="H36" s="10">
        <f>SUMIFS('[7]TABLO-1'!R4:R32873,'[7]TABLO-1'!H4:H32873,"=Dağıtım-OG",'[7]TABLO-1'!J4:J32873,"=Güvenlik",'[7]TABLO-1'!K4:K32873,"=Bildirimsiz",'[7]TABLO-1'!I4:I32873,"=Uzun",'[7]TABLO-1'!D4:D32873,"=ENEZ")/P13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SUMIFS('[7]TABLO-1'!S4:S32873,'[7]TABLO-1'!H4:H32873,"=Dağıtım-OG",'[7]TABLO-1'!J4:J32873,"=Güvenlik",'[7]TABLO-1'!K4:K32873,"=Bildirimsiz",'[7]TABLO-1'!I4:I32873,"=Uzun",'[7]TABLO-1'!D4:D32873,"=ENEZ")/P8</f>
        <v>0</v>
      </c>
      <c r="K36" s="10">
        <f>SUMIFS('[7]TABLO-1'!T4:T32873,'[7]TABLO-1'!H4:H32873,"=Dağıtım-OG",'[7]TABLO-1'!J4:J32873,"=Güvenlik",'[7]TABLO-1'!K4:K32873,"=bildirimsiz",'[7]TABLO-1'!I4:I32873,"=Uzun",'[7]TABLO-1'!D4:D32873,"=ENEZ")/P14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İşletmecisi",'[7]TABLO-1'!K4:K32873,"=Bildirimsiz",'[7]TABLO-1'!I4:I32873,"=Uzun",'[7]TABLO-1'!D4:D32873,"=ENEZ")/P6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İşletmecisi",'[7]TABLO-1'!K4:K32873,"=Bildirimsiz",'[7]TABLO-1'!I4:I32873,"=Uzun",'[7]TABLO-1'!D4:D32873,"=ENEZ")/P12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İşletmecisi",'[7]TABLO-1'!K4:K32873,"=Bildirimsiz",'[7]TABLO-1'!I4:I32873,"=Uzun",'[7]TABLO-1'!D4:D32873,"=ENEZ")/P7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İşletmecisi",'[7]TABLO-1'!K4:K32873,"=Bildirimsiz",'[7]TABLO-1'!I4:I32873,"=Uzun",'[7]TABLO-1'!D4:D32873,"=ENEZ")/P13</f>
        <v>2.4532555364010077E-2</v>
      </c>
      <c r="I37" s="10">
        <f t="shared" si="11"/>
        <v>2.4367755532139095E-2</v>
      </c>
      <c r="J37" s="12">
        <f>SUMIFS('[7]TABLO-1'!S4:S32873,'[7]TABLO-1'!H4:H32873,"=Dağıtım-AG",'[7]TABLO-1'!J4:J32873,"=Şebeke İşletmecisi",'[7]TABLO-1'!K4:K32873,"=Bildirimsiz",'[7]TABLO-1'!I4:I32873,"=Uzun",'[7]TABLO-1'!D4:D32873,"=ENEZ")/P8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İşletmecisi",'[7]TABLO-1'!K4:K32873,"=bildirimsiz",'[7]TABLO-1'!I4:I32873,"=Uzun",'[7]TABLO-1'!D4:D32873,"=ENEZ")/P14</f>
        <v>2.5181058495821727E-2</v>
      </c>
      <c r="L37" s="10">
        <f t="shared" si="12"/>
        <v>2.4650959860383945E-2</v>
      </c>
      <c r="M37" s="11">
        <f t="shared" si="13"/>
        <v>2.4522673031026253E-2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SUMIFS('[7]TABLO-1'!O4:O32873,'[7]TABLO-1'!H4:H32873,"=Dağıtım-AG",'[7]TABLO-1'!J4:J32873,"=Dışsal",'[7]TABLO-1'!K4:K32873,"=Bildirimsiz",'[7]TABLO-1'!I4:I32873,"=Uzun",'[7]TABLO-1'!D4:D32873,"=ENEZ")/P6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SUMIFS('[7]TABLO-1'!P4:P32873,'[7]TABLO-1'!H4:H32873,"=Dağıtım-AG",'[7]TABLO-1'!J4:J32873,"=Dışsal",'[7]TABLO-1'!K4:K32873,"=Bildirimsiz",'[7]TABLO-1'!I4:I32873,"=Uzun",'[7]TABLO-1'!D4:D32873,"=ENEZ")/P12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SUMIFS('[7]TABLO-1'!Q4:Q32873,'[7]TABLO-1'!H4:H32873,"=Dağıtım-AG",'[7]TABLO-1'!J4:J32873,"=Dışsal",'[7]TABLO-1'!K4:K32873,"=Bildirimsiz",'[7]TABLO-1'!I4:I32873,"=Uzun",'[7]TABLO-1'!D4:D32873,"=ENEZ")/P7</f>
        <v>0</v>
      </c>
      <c r="H38" s="10">
        <f>SUMIFS('[7]TABLO-1'!R4:R32873,'[7]TABLO-1'!H4:H32873,"=Dağıtım-AG",'[7]TABLO-1'!J4:J32873,"=Dışsal",'[7]TABLO-1'!K4:K32873,"=Bildirimsiz",'[7]TABLO-1'!I4:I32873,"=Uzun",'[7]TABLO-1'!D4:D32873,"=ENEZ")/P13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SUMIFS('[7]TABLO-1'!S4:S32873,'[7]TABLO-1'!H4:H32873,"=Dağıtım-AG",'[7]TABLO-1'!J4:J32873,"=Dışsal",'[7]TABLO-1'!K4:K32873,"=Bildirimsiz",'[7]TABLO-1'!I4:I32873,"=Uzun",'[7]TABLO-1'!D4:D32873,"=ENEZ")/P8</f>
        <v>0</v>
      </c>
      <c r="K38" s="10">
        <f>SUMIFS('[7]TABLO-1'!T4:T32873,'[7]TABLO-1'!H4:H32873,"=Dağıtım-AG",'[7]TABLO-1'!J4:J32873,"=Dışsal",'[7]TABLO-1'!K4:K32873,"=bildirimsiz",'[7]TABLO-1'!I4:I32873,"=Uzun",'[7]TABLO-1'!D4:D32873,"=ENEZ")/P14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Sebep",'[7]TABLO-1'!K4:K32873,"=Bildirimsiz",'[7]TABLO-1'!I4:I32873,"=Uzun",'[7]TABLO-1'!D4:D32873,"=ENEZ")/P6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Sebep",'[7]TABLO-1'!K4:K32873,"=Bildirimsiz",'[7]TABLO-1'!I4:I32873,"=Uzun",'[7]TABLO-1'!D4:D32873,"=ENEZ")/P12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Sebep",'[7]TABLO-1'!K4:K32873,"=Bildirimsiz",'[7]TABLO-1'!I4:I32873,"=Uzun",'[7]TABLO-1'!D4:D32873,"=ENEZ")/P7</f>
        <v>0</v>
      </c>
      <c r="H39" s="10">
        <f>SUMIFS('[7]TABLO-1'!R4:R32873,'[7]TABLO-1'!H4:H32873,"=Dağıtım-AG",'[7]TABLO-1'!J4:J32873,"=Mücbir Sebep",'[7]TABLO-1'!K4:K32873,"=Bildirimsiz",'[7]TABLO-1'!I4:I32873,"=Uzun",'[7]TABLO-1'!D4:D32873,"=ENEZ")/P13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Sebep",'[7]TABLO-1'!K4:K32873,"=Bildirimsiz",'[7]TABLO-1'!I4:I32873,"=Uzun",'[7]TABLO-1'!D4:D32873,"=ENEZ")/P8</f>
        <v>0</v>
      </c>
      <c r="K39" s="10">
        <f>SUMIFS('[7]TABLO-1'!T4:T32873,'[7]TABLO-1'!H4:H32873,"=Dağıtım-AG",'[7]TABLO-1'!J4:J32873,"=Mücbir Sebep",'[7]TABLO-1'!K4:K32873,"=bildirimsiz",'[7]TABLO-1'!I4:I32873,"=Uzun",'[7]TABLO-1'!D4:D32873,"=ENEZ")/P14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SUMIFS('[7]TABLO-1'!O4:O32873,'[7]TABLO-1'!H4:H32873,"=Dağıtım-AG",'[7]TABLO-1'!J4:J32873,"=Güvenlik",'[7]TABLO-1'!K4:K32873,"=Bildirimsiz",'[7]TABLO-1'!I4:I32873,"=Uzun",'[7]TABLO-1'!D4:D32873,"=ENEZ")/P6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SUMIFS('[7]TABLO-1'!P4:P32873,'[7]TABLO-1'!H4:H32873,"=Dağıtım-AG",'[7]TABLO-1'!J4:J32873,"=Güvenlik",'[7]TABLO-1'!K4:K32873,"=Bildirimsiz",'[7]TABLO-1'!I4:I32873,"=Uzun",'[7]TABLO-1'!D4:D32873,"=ENEZ")/P12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SUMIFS('[7]TABLO-1'!Q4:Q32873,'[7]TABLO-1'!H4:H32873,"=Dağıtım-AG",'[7]TABLO-1'!J4:J32873,"=Güvenlik",'[7]TABLO-1'!K4:K32873,"=Bildirimsiz",'[7]TABLO-1'!I4:I32873,"=Uzun",'[7]TABLO-1'!D4:D32873,"=ENEZ")/P7</f>
        <v>0</v>
      </c>
      <c r="H40" s="10">
        <f>SUMIFS('[7]TABLO-1'!R4:R32873,'[7]TABLO-1'!H4:H32873,"=Dağıtım-AG",'[7]TABLO-1'!J4:J32873,"=Güvenlik",'[7]TABLO-1'!K4:K32873,"=Bildirimsiz",'[7]TABLO-1'!I4:I32873,"=Uzun",'[7]TABLO-1'!D4:D32873,"=ENEZ")/P13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SUMIFS('[7]TABLO-1'!S4:S32873,'[7]TABLO-1'!H4:H32873,"=Dağıtım-AG",'[7]TABLO-1'!J4:J32873,"=Güvenlik",'[7]TABLO-1'!K4:K32873,"=Bildirimsiz",'[7]TABLO-1'!I4:I32873,"=Uzun",'[7]TABLO-1'!D4:D32873,"=ENEZ")/P8</f>
        <v>0</v>
      </c>
      <c r="K40" s="10">
        <f>SUMIFS('[7]TABLO-1'!T4:T32873,'[7]TABLO-1'!H4:H32873,"=Dağıtım-AG",'[7]TABLO-1'!J4:J32873,"=Güvenlik",'[7]TABLO-1'!K4:K32873,"=bildirimsiz",'[7]TABLO-1'!I4:I32873,"=Uzun",'[7]TABLO-1'!D4:D32873,"=ENEZ")/P14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2</v>
      </c>
      <c r="H41" s="10">
        <f t="shared" si="14"/>
        <v>0.19069088980241347</v>
      </c>
      <c r="I41" s="10">
        <f t="shared" si="14"/>
        <v>0.2028451001053741</v>
      </c>
      <c r="J41" s="10">
        <f t="shared" si="14"/>
        <v>0.95336787564766834</v>
      </c>
      <c r="K41" s="10">
        <f t="shared" si="14"/>
        <v>0.40267409470752091</v>
      </c>
      <c r="L41" s="10">
        <f t="shared" si="14"/>
        <v>0.4142670157068063</v>
      </c>
      <c r="M41" s="10">
        <f t="shared" si="14"/>
        <v>0.31849642004773265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İşletmecisi",'[7]TABLO-1'!K4:K32873,"=Bildirimli",'[7]TABLO-1'!I4:I32873,"=Uzun",'[7]TABLO-1'!D4:D32873,"=ENEZ")/P6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İşletmecisi",'[7]TABLO-1'!K4:K32873,"=Bildirimli",'[7]TABLO-1'!I4:I32873,"=Uzun",'[7]TABLO-1'!D4:D32873,"=ENEZ")/P12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İşletmecisi",'[7]TABLO-1'!K4:K32873,"=Bildirimli",'[7]TABLO-1'!I4:I32873,"=Uzun",'[7]TABLO-1'!D4:D32873,"=ENEZ")/P7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İşletmecisi",'[7]TABLO-1'!K4:K32873,"=Bildirimli",'[7]TABLO-1'!I4:I32873,"=Uzun",'[7]TABLO-1'!D4:D32873,"=ENEZ")/P13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İşletmecisi",'[7]TABLO-1'!K4:K32873,"=Bildirimli",'[7]TABLO-1'!I4:I32873,"=Uzun",'[7]TABLO-1'!D4:D32873,"=ENEZ")/P8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İşletmecisi",'[7]TABLO-1'!K4:K32873,"=bildirimli",'[7]TABLO-1'!I4:I32873,"=Uzun",'[7]TABLO-1'!D4:D32873,"=ENEZ")/P14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İşletmecisi",'[7]TABLO-1'!K4:K32873,"=Bildirimli",'[7]TABLO-1'!I4:I32873,"=Uzun",'[7]TABLO-1'!D4:D32873,"=ENEZ")/P6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İşletmecisi",'[7]TABLO-1'!K4:K32873,"=Bildirimli",'[7]TABLO-1'!I4:I32873,"=Uzun",'[7]TABLO-1'!D4:D32873,"=ENEZ")/P12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İşletmecisi",'[7]TABLO-1'!K4:K32873,"=Bildirimli",'[7]TABLO-1'!I4:I32873,"=Uzun",'[7]TABLO-1'!D4:D32873,"=ENEZ")/P7</f>
        <v>1.9607843137254902E-2</v>
      </c>
      <c r="H47" s="10">
        <f>SUMIFS('[7]TABLO-1'!R4:R32873,'[7]TABLO-1'!H4:H32873,"=Dağıtım-OG",'[7]TABLO-1'!J4:J32873,"=Şebeke İşletmecisi",'[7]TABLO-1'!K4:K32873,"=Bildirimli",'[7]TABLO-1'!I4:I32873,"=Uzun",'[7]TABLO-1'!D4:D32873,"=ENEZ")/P13</f>
        <v>0.57406179551783587</v>
      </c>
      <c r="I47" s="10">
        <f t="shared" ref="I47:I50" si="16">IFERROR((((G47*$P$7)+(H47*$P$13))/$P$20),"0,00")</f>
        <v>0.57033719704952579</v>
      </c>
      <c r="J47" s="10">
        <f>SUMIFS('[7]TABLO-1'!S4:S32873,'[7]TABLO-1'!H4:H32873,"=Dağıtım-OG",'[7]TABLO-1'!J4:J32873,"=Şebeke İşletmecisi",'[7]TABLO-1'!K4:K32873,"=Bildirimli",'[7]TABLO-1'!I4:I32873,"=Uzun",'[7]TABLO-1'!D4:D32873,"=ENEZ")/P8</f>
        <v>1.0362694300518135E-2</v>
      </c>
      <c r="K47" s="10">
        <f>SUMIFS('[7]TABLO-1'!T4:T32873,'[7]TABLO-1'!H4:H32873,"=Dağıtım-OG",'[7]TABLO-1'!J4:J32873,"=Şebeke İşletmecisi",'[7]TABLO-1'!K4:K32873,"=bildirimli",'[7]TABLO-1'!I4:I32873,"=Uzun",'[7]TABLO-1'!D4:D32873,"=ENEZ")/P14</f>
        <v>2.6740947075208914E-3</v>
      </c>
      <c r="L47" s="10">
        <f t="shared" ref="L47:L50" si="17">IFERROR((((J47*$P$8)+(K47*$P$14))/$P$23),"0,00")</f>
        <v>2.8359511343804536E-3</v>
      </c>
      <c r="M47" s="11">
        <f t="shared" ref="M47:M50" si="18">IFERROR((((F47*$P$17)+(I47*$P$20)+(L47*$P$23))/$P$26),"0,00")</f>
        <v>0.25990453460620527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SUMIFS('[7]TABLO-1'!O4:O32873,'[7]TABLO-1'!H4:H32873,"=Dağıtım-OG",'[7]TABLO-1'!J4:J32873,"=Güvenlik",'[7]TABLO-1'!K4:K32873,"=Bildirimli",'[7]TABLO-1'!I4:I32873,"=Uzun",'[7]TABLO-1'!D4:D32873,"=ENEZ")/P6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SUMIFS('[7]TABLO-1'!P4:P32873,'[7]TABLO-1'!H4:H32873,"=Dağıtım-OG",'[7]TABLO-1'!J4:J32873,"=Güvenlik",'[7]TABLO-1'!K4:K32873,"=Bildirimli",'[7]TABLO-1'!I4:I32873,"=Uzun",'[7]TABLO-1'!D4:D32873,"=ENEZ")/P12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SUMIFS('[7]TABLO-1'!Q4:Q32873,'[7]TABLO-1'!H4:H32873,"=Dağıtım-OG",'[7]TABLO-1'!J4:J32873,"=Güvenlik",'[7]TABLO-1'!K4:K32873,"=Bildirimli",'[7]TABLO-1'!I4:I32873,"=Uzun",'[7]TABLO-1'!D4:D32873,"=ENEZ")/P7</f>
        <v>0</v>
      </c>
      <c r="H48" s="10">
        <f>SUMIFS('[7]TABLO-1'!R4:R32873,'[7]TABLO-1'!H4:H32873,"=Dağıtım-OG",'[7]TABLO-1'!J4:J32873,"=Güvenlik",'[7]TABLO-1'!K4:K32873,"=Bildirimli",'[7]TABLO-1'!I4:I32873,"=Uzun",'[7]TABLO-1'!D4:D32873,"=ENEZ")/P13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SUMIFS('[7]TABLO-1'!S4:S32873,'[7]TABLO-1'!H4:H32873,"=Dağıtım-OG",'[7]TABLO-1'!J4:J32873,"=Güvenlik",'[7]TABLO-1'!K4:K32873,"=Bildirimli",'[7]TABLO-1'!I4:I32873,"=Uzun",'[7]TABLO-1'!D4:D32873,"=ENEZ")/P8</f>
        <v>0</v>
      </c>
      <c r="K48" s="10">
        <f>SUMIFS('[7]TABLO-1'!T4:T32873,'[7]TABLO-1'!H4:H32873,"=Dağıtım-OG",'[7]TABLO-1'!J4:J32873,"=Güvenlik",'[7]TABLO-1'!K4:K32873,"=bildirimli",'[7]TABLO-1'!I4:I32873,"=Uzun",'[7]TABLO-1'!D4:D32873,"=ENEZ")/P14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İşletmecisi",'[7]TABLO-1'!K4:K32873,"=Bildirimli",'[7]TABLO-1'!I4:I32873,"=Uzun",'[7]TABLO-1'!D4:D32873,"=ENEZ")/P6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İşletmecisi",'[7]TABLO-1'!K4:K32873,"=Bildirimli",'[7]TABLO-1'!I4:I32873,"=Uzun",'[7]TABLO-1'!D4:D32873,"=ENEZ")/P12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İşletmecisi",'[7]TABLO-1'!K4:K32873,"=Bildirimli",'[7]TABLO-1'!I4:I32873,"=Uzun",'[7]TABLO-1'!D4:D32873,"=ENEZ")/P7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İşletmecisi",'[7]TABLO-1'!K4:K32873,"=Bildirimli",'[7]TABLO-1'!I4:I32873,"=Uzun",'[7]TABLO-1'!D4:D32873,"=ENEZ")/P13</f>
        <v>0.31375149184458295</v>
      </c>
      <c r="I49" s="10">
        <f t="shared" si="16"/>
        <v>0.31164383561643838</v>
      </c>
      <c r="J49" s="12">
        <f>SUMIFS('[7]TABLO-1'!S4:S32873,'[7]TABLO-1'!H4:H32873,"=Dağıtım-AG",'[7]TABLO-1'!J4:J32873,"=Şebeke İşletmecisi",'[7]TABLO-1'!K4:K32873,"=Bildirimli",'[7]TABLO-1'!I4:I32873,"=Uzun",'[7]TABLO-1'!D4:D32873,"=ENEZ")/P8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İşletmecisi",'[7]TABLO-1'!K4:K32873,"=bildirimli",'[7]TABLO-1'!I4:I32873,"=Uzun",'[7]TABLO-1'!D4:D32873,"=ENEZ")/P14</f>
        <v>1.1142061281337048E-3</v>
      </c>
      <c r="L49" s="10">
        <f t="shared" si="17"/>
        <v>1.0907504363001745E-3</v>
      </c>
      <c r="M49" s="11">
        <f t="shared" si="18"/>
        <v>0.14176610978520288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SUMIFS('[7]TABLO-1'!O4:O32873,'[7]TABLO-1'!H4:H32873,"=Dağıtım-AG",'[7]TABLO-1'!J4:J32873,"=Güvenlik",'[7]TABLO-1'!K4:K32873,"=Bildirimli",'[7]TABLO-1'!I4:I32873,"=Uzun",'[7]TABLO-1'!D4:D32873,"=ENEZ")/P6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SUMIFS('[7]TABLO-1'!P4:P32873,'[7]TABLO-1'!H4:H32873,"=Dağıtım-AG",'[7]TABLO-1'!J4:J32873,"=Güvenlik",'[7]TABLO-1'!K4:K32873,"=Bildirimli",'[7]TABLO-1'!I4:I32873,"=Uzun",'[7]TABLO-1'!D4:D32873,"=ENEZ")/P12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SUMIFS('[7]TABLO-1'!Q4:Q32873,'[7]TABLO-1'!H4:H32873,"=Dağıtım-AG",'[7]TABLO-1'!J4:J32873,"=Güvenlik",'[7]TABLO-1'!K4:K32873,"=Bildirimli",'[7]TABLO-1'!I4:I32873,"=Uzun",'[7]TABLO-1'!D4:D32873,"=ENEZ")/P7</f>
        <v>0</v>
      </c>
      <c r="H50" s="10">
        <f>SUMIFS('[7]TABLO-1'!R4:R32873,'[7]TABLO-1'!H4:H32873,"=Dağıtım-AG",'[7]TABLO-1'!J4:J32873,"=Güvenlik",'[7]TABLO-1'!K4:K32873,"=Bildirimli",'[7]TABLO-1'!I4:I32873,"=Uzun",'[7]TABLO-1'!D4:D32873,"=ENEZ")/P13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SUMIFS('[7]TABLO-1'!S4:S32873,'[7]TABLO-1'!H4:H32873,"=Dağıtım-AG",'[7]TABLO-1'!J4:J32873,"=Güvenlik",'[7]TABLO-1'!K4:K32873,"=Bildirimli",'[7]TABLO-1'!I4:I32873,"=Uzun",'[7]TABLO-1'!D4:D32873,"=ENEZ")/P8</f>
        <v>0</v>
      </c>
      <c r="K50" s="10">
        <f>SUMIFS('[7]TABLO-1'!T4:T32873,'[7]TABLO-1'!H4:H32873,"=Dağıtım-AG",'[7]TABLO-1'!J4:J32873,"=Güvenlik",'[7]TABLO-1'!K4:K32873,"=bildirimli",'[7]TABLO-1'!I4:I32873,"=Uzun",'[7]TABLO-1'!D4:D32873,"=ENEZ")/P14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1.9607843137254902E-2</v>
      </c>
      <c r="H51" s="10">
        <f t="shared" si="19"/>
        <v>0.88781328736241882</v>
      </c>
      <c r="I51" s="10">
        <f t="shared" si="19"/>
        <v>0.88198103266596417</v>
      </c>
      <c r="J51" s="10">
        <f t="shared" si="19"/>
        <v>1.0362694300518135E-2</v>
      </c>
      <c r="K51" s="10">
        <f t="shared" si="19"/>
        <v>3.7883008356545964E-3</v>
      </c>
      <c r="L51" s="10">
        <f t="shared" si="19"/>
        <v>3.9267015706806281E-3</v>
      </c>
      <c r="M51" s="10">
        <f t="shared" si="19"/>
        <v>0.40167064439140815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SUMIFS('[7]TABLO-1'!O1:O32873,'[7]TABLO-1'!H1:H32873,"=İletim",'[7]TABLO-1'!K1:K32873,"=Bildirimsiz",'[7]TABLO-1'!I1:I32873,"=Kısa",'[7]TABLO-1'!D1:D32873,"=ENEZ")/P6</f>
        <v>#DIV/0!</v>
      </c>
      <c r="D56" s="10" t="e">
        <f>SUMIFS('[7]TABLO-1'!P1:P32873,'[7]TABLO-1'!H1:H32873,"=İletim",'[7]TABLO-1'!K1:K32873,"=Bildirimsiz",'[7]TABLO-1'!I1:I32873,"=Kısa",'[7]TABLO-1'!D1:D32873,"=ENEZ")/P12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SUMIFS('[7]TABLO-1'!Q1:Q32873,'[7]TABLO-1'!H1:H32873,"=İletim",'[7]TABLO-1'!K1:K32873,"=Bildirimsiz",'[7]TABLO-1'!I1:I32873,"=Kısa",'[7]TABLO-1'!D1:D32873,"=ENEZ")/P7</f>
        <v>0</v>
      </c>
      <c r="G56" s="10">
        <f>SUMIFS('[7]TABLO-1'!R1:R32873,'[7]TABLO-1'!H1:H32873,"=İletim",'[7]TABLO-1'!K1:K32873,"=Bildirimsiz",'[7]TABLO-1'!I1:I32873,"=Kısa",'[7]TABLO-1'!D1:D32873,"=ENEZ")/P13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SUMIFS('[7]TABLO-1'!S1:S32873,'[7]TABLO-1'!H1:H32873,"=İletim",'[7]TABLO-1'!K1:K32873,"=Bildirimsiz",'[7]TABLO-1'!I1:I32873,"=Kısa",'[7]TABLO-1'!D1:D32873,"=ENEZ")/P8</f>
        <v>0</v>
      </c>
      <c r="J56" s="10">
        <f>SUMIFS('[7]TABLO-1'!T1:T32873,'[7]TABLO-1'!H1:H32873,"=İletim",'[7]TABLO-1'!K1:K32873,"=Bildirimsiz",'[7]TABLO-1'!I1:I32873,"=Kısa",'[7]TABLO-1'!D1:D32873,"=ENEZ")/P14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SUMIFS('[7]TABLO-1'!O4:O32873,'[7]TABLO-1'!H4:H32873,"=Dağıtım-OG",'[7]TABLO-1'!K4:K32873,"=Bildirimsiz",'[7]TABLO-1'!I4:I32873,"=Kısa",'[7]TABLO-1'!D4:D32873,"=ENEZ")/P6</f>
        <v>#DIV/0!</v>
      </c>
      <c r="D57" s="10" t="e">
        <f>SUMIFS('[7]TABLO-1'!P4:P32873,'[7]TABLO-1'!H4:H32873,"=Dağıtım-OG",'[7]TABLO-1'!K4:K32873,"=Bildirimsiz",'[7]TABLO-1'!I4:I32873,"=Kısa",'[7]TABLO-1'!D4:D32873,"=ENEZ")/P12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SUMIFS('[7]TABLO-1'!Q4:Q32873,'[7]TABLO-1'!H4:H32873,"=Dağıtım-OG",'[7]TABLO-1'!K4:K32873,"=Bildirimsiz",'[7]TABLO-1'!I4:I32873,"=Kısa",'[7]TABLO-1'!D4:D32873,"=ENEZ")/P7</f>
        <v>2.5686274509803924</v>
      </c>
      <c r="G57" s="10">
        <f>SUMIFS('[7]TABLO-1'!R4:R32873,'[7]TABLO-1'!H4:H32873,"=Dağıtım-OG",'[7]TABLO-1'!K4:K32873,"=Bildirimsiz",'[7]TABLO-1'!I4:I32873,"=Kısa",'[7]TABLO-1'!D4:D32873,"=ENEZ")/P13</f>
        <v>0</v>
      </c>
      <c r="H57" s="10">
        <f>IFERROR((((F57*$P$7)+(G57*$P$13))/$P$20),"0,00")</f>
        <v>1.72550052687039E-2</v>
      </c>
      <c r="I57" s="10">
        <f>SUMIFS('[7]TABLO-1'!S4:S32873,'[7]TABLO-1'!H4:H32873,"=Dağıtım-OG",'[7]TABLO-1'!K4:K32873,"=Bildirimsiz",'[7]TABLO-1'!I4:I32873,"=Kısa",'[7]TABLO-1'!D4:D32873,"=ENEZ")/P8</f>
        <v>0.20725388601036268</v>
      </c>
      <c r="J57" s="10">
        <f>SUMIFS('[7]TABLO-1'!T4:T32873,'[7]TABLO-1'!H4:H32873,"=Dağıtım-OG",'[7]TABLO-1'!K4:K32873,"=Bildirimsiz",'[7]TABLO-1'!I4:I32873,"=Kısa",'[7]TABLO-1'!D4:D32873,"=ENEZ")/P14</f>
        <v>5.5710306406685239E-4</v>
      </c>
      <c r="K57" s="10">
        <f>IFERROR((((I57*$P$8)+(J57*$P$14))/$P$23),"0,00")</f>
        <v>4.9083769633507853E-3</v>
      </c>
      <c r="L57" s="11">
        <f>IFERROR((((E57*$P$17)+(H57*$P$20)+(K57*$P$23))/$P$26),"0,00")</f>
        <v>1.0501193317422435E-2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SUMIFS('[7]TABLO-1'!O4:O32873,'[7]TABLO-1'!H4:H32873,"=Dağıtım-AG",'[7]TABLO-1'!K4:K32873,"=Bildirimsiz",'[7]TABLO-1'!I4:I32873,"=Kısa",'[7]TABLO-1'!D4:D32873,"=ENEZ")/P6</f>
        <v>#DIV/0!</v>
      </c>
      <c r="D58" s="10" t="e">
        <f>SUMIFS('[7]TABLO-1'!P4:P32873,'[7]TABLO-1'!H4:H32873,"=Dağıtım-AG",'[7]TABLO-1'!K4:K32873,"=Bildirimsiz",'[7]TABLO-1'!I4:I32873,"=Kısa",'[7]TABLO-1'!D4:D32873,"=ENEZ")/P12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SUMIFS('[7]TABLO-1'!Q4:Q32873,'[7]TABLO-1'!H4:H32873,"=Dağıtım-AG",'[7]TABLO-1'!K4:K32873,"=Bildirimsiz",'[7]TABLO-1'!I4:I32873,"=Kısa",'[7]TABLO-1'!D4:D32873,"=ENEZ")/P7</f>
        <v>0</v>
      </c>
      <c r="G58" s="10">
        <f>SUMIFS('[7]TABLO-1'!R4:R32873,'[7]TABLO-1'!H4:H32873,"=Dağıtım-AG",'[7]TABLO-1'!K4:K32873,"=Bildirimsiz",'[7]TABLO-1'!I4:I32873,"=Kısa",'[7]TABLO-1'!D4:D32873,"=ENEZ")/P13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SUMIFS('[7]TABLO-1'!S4:S32873,'[7]TABLO-1'!H4:H32873,"=Dağıtım-AG",'[7]TABLO-1'!K4:K32873,"=Bildirimsiz",'[7]TABLO-1'!I4:I32873,"=Kısa",'[7]TABLO-1'!D4:D32873,"=ENEZ")/P8</f>
        <v>0</v>
      </c>
      <c r="J58" s="10">
        <f>SUMIFS('[7]TABLO-1'!T4:T32873,'[7]TABLO-1'!H4:H32873,"=Dağıtım-AG",'[7]TABLO-1'!K4:K32873,"=Bildirimsiz",'[7]TABLO-1'!I4:I32873,"=Kısa",'[7]TABLO-1'!D4:D32873,"=ENEZ")/P14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2.5686274509803924</v>
      </c>
      <c r="G59" s="10">
        <f t="shared" si="20"/>
        <v>0</v>
      </c>
      <c r="H59" s="10">
        <f t="shared" si="20"/>
        <v>1.72550052687039E-2</v>
      </c>
      <c r="I59" s="10">
        <f t="shared" si="20"/>
        <v>0.20725388601036268</v>
      </c>
      <c r="J59" s="10">
        <f t="shared" si="20"/>
        <v>5.5710306406685239E-4</v>
      </c>
      <c r="K59" s="10">
        <f t="shared" si="20"/>
        <v>4.9083769633507853E-3</v>
      </c>
      <c r="L59" s="10">
        <f t="shared" si="20"/>
        <v>1.0501193317422435E-2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51</v>
      </c>
      <c r="G65" s="27">
        <f>P13</f>
        <v>7541</v>
      </c>
      <c r="H65" s="17">
        <f>SUM(F65:G65)</f>
        <v>7592</v>
      </c>
      <c r="I65" s="17">
        <f>P8</f>
        <v>193</v>
      </c>
      <c r="J65" s="27">
        <f>P14</f>
        <v>8975</v>
      </c>
      <c r="K65" s="17">
        <f>SUM(I65:J65)</f>
        <v>9168</v>
      </c>
      <c r="L65" s="17">
        <f>H65+E65+K65</f>
        <v>16760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Q71"/>
  <sheetViews>
    <sheetView zoomScale="70" zoomScaleNormal="70" workbookViewId="0">
      <selection activeCell="Q61" sqref="Q6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İşletmecisi",'[7]TABLO-1'!K4:K32873,"=Bildirimsiz",'[7]TABLO-1'!I4:I32873,"=Uzun",'[7]TABLO-1'!D4:D32873,"=İPSALA")/P6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İşletmecisi",'[7]TABLO-1'!K4:K32873,"=Bildirimsiz",'[7]TABLO-1'!I4:I32873,"=Uzun",'[7]TABLO-1'!D4:D32873,"=İPSALA")/P12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İşletmecisi",'[7]TABLO-1'!K4:K32873,"=Bildirimsiz",'[7]TABLO-1'!I4:I32873,"=Uzun",'[7]TABLO-1'!D4:D32873,"=İPSALA")/P7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İşletmecisi",'[7]TABLO-1'!K4:K32873,"=Bildirimsiz",'[7]TABLO-1'!I4:I32873,"=Uzun",'[7]TABLO-1'!D4:D32873,"=İPSALA")/P13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İşletmecisi",'[7]TABLO-1'!K4:K32873,"=Bildirimsiz",'[7]TABLO-1'!I4:I32873,"=Uzun",'[7]TABLO-1'!D4:D32873,"=İPSALA")/P8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İşletmecisi",'[7]TABLO-1'!K4:K32873,"=Bildirimsiz",'[7]TABLO-1'!I4:I32873,"=Uzun",'[7]TABLO-1'!D4:D32873,"=İPSALA")/P14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Sebep",'[7]TABLO-1'!K4:K32873,"=Bildirimsiz",'[7]TABLO-1'!I4:I32873,"=Uzun",'[7]TABLO-1'!D4:D32873,"=İPSALA")/P6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Sebep",'[7]TABLO-1'!K4:K32873,"=Bildirimsiz",'[7]TABLO-1'!I4:I32873,"=Uzun",'[7]TABLO-1'!D4:D32873,"=İPSALA")/P12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Sebep",'[7]TABLO-1'!K4:K32873,"=Bildirimsiz",'[7]TABLO-1'!I4:I32873,"=Uzun",'[7]TABLO-1'!D4:D32873,"=İPSALA")/P7</f>
        <v>0</v>
      </c>
      <c r="H7" s="10">
        <f>SUMIFS('[7]TABLO-1'!X4:X32873,'[7]TABLO-1'!H4:H32873,"=İletim",'[7]TABLO-1'!J4:J32873,"=Mücbir Sebep",'[7]TABLO-1'!K4:K32873,"=Bildirimsiz",'[7]TABLO-1'!I4:I32873,"=Uzun",'[7]TABLO-1'!D4:D32873,"=İPSALA")/P13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Sebep",'[7]TABLO-1'!K4:K32873,"=Bildirimsiz",'[7]TABLO-1'!I4:I32873,"=Uzun",'[7]TABLO-1'!D4:D32873,"=İPSALA")/P8</f>
        <v>0</v>
      </c>
      <c r="K7" s="10">
        <f>SUMIFS('[7]TABLO-1'!Z4:Z32873,'[7]TABLO-1'!H4:H32873,"=İletim",'[7]TABLO-1'!J4:J32873,"=Mücbir Sebep",'[7]TABLO-1'!K4:K32873,"=Bildirimsiz",'[7]TABLO-1'!I4:I32873,"=Uzun",'[7]TABLO-1'!D4:D32873,"=İPSALA")/P14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474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İşletmecisi",'[7]TABLO-1'!K4:K32873,"=Bildirimsiz",'[7]TABLO-1'!I4:I32873,"=Uzun",'[7]TABLO-1'!D4:D32873,"=İPSALA")/P6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İşletmecisi",'[7]TABLO-1'!K4:K32873,"=Bildirimsiz",'[7]TABLO-1'!I4:I32873,"=Uzun",'[7]TABLO-1'!D4:D32873,"=İPSALA")/P12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İşletmecisi",'[7]TABLO-1'!K4:K32873,"=Bildirimsiz",'[7]TABLO-1'!I4:I32873,"=Uzun",'[7]TABLO-1'!D4:D32873,"=İPSALA")/P7</f>
        <v>6.691244726048641</v>
      </c>
      <c r="H8" s="10">
        <f>SUMIFS('[7]TABLO-1'!X4:X32873,'[7]TABLO-1'!H4:H32873,"=Dağıtım-OG",'[7]TABLO-1'!J4:J32873,"=Şebeke İşletmecisi",'[7]TABLO-1'!K4:K32873,"=Bildirimsiz",'[7]TABLO-1'!I4:I32873,"=Uzun",'[7]TABLO-1'!D4:D32873,"=İPSALA")/P13</f>
        <v>1.8701807984687735</v>
      </c>
      <c r="I8" s="10">
        <f t="shared" si="1"/>
        <v>2.1392159175731833</v>
      </c>
      <c r="J8" s="10">
        <f>SUMIFS('[7]TABLO-1'!Y4:Y32873,'[7]TABLO-1'!H4:H32873,"=Dağıtım-OG",'[7]TABLO-1'!J4:J32873,"=Şebeke İşletmecisi",'[7]TABLO-1'!K4:K32873,"=Bildirimsiz",'[7]TABLO-1'!I4:I32873,"=Uzun",'[7]TABLO-1'!D4:D32873,"=İPSALA")/P8</f>
        <v>27.679572976797544</v>
      </c>
      <c r="K8" s="10">
        <f>SUMIFS('[7]TABLO-1'!Z4:Z32873,'[7]TABLO-1'!H4:H32873,"=Dağıtım-OG",'[7]TABLO-1'!J4:J32873,"=Şebeke İşletmecisi",'[7]TABLO-1'!K4:K32873,"=Bildirimsiz",'[7]TABLO-1'!I4:I32873,"=Uzun",'[7]TABLO-1'!D4:D32873,"=İPSALA")/P14</f>
        <v>24.683445632769466</v>
      </c>
      <c r="L8" s="10">
        <f t="shared" si="2"/>
        <v>24.877090541435642</v>
      </c>
      <c r="M8" s="11">
        <f t="shared" si="3"/>
        <v>13.232600787722406</v>
      </c>
      <c r="O8" s="20" t="s">
        <v>36</v>
      </c>
      <c r="P8" s="53">
        <v>523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SUMIFS('[7]TABLO-1'!U4:U32873,'[7]TABLO-1'!H4:H32873,"=Dağıtım-OG",'[7]TABLO-1'!J4:J32873,"=Dışsal",'[7]TABLO-1'!K4:K32873,"=Bildirimsiz",'[7]TABLO-1'!I4:I32873,"=Uzun",'[7]TABLO-1'!D4:D32873,"=İPSALA")/P6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SUMIFS('[7]TABLO-1'!V4:V32873,'[7]TABLO-1'!H4:H32873,"=Dağıtım-OG",'[7]TABLO-1'!J4:J32873,"=Dışsal",'[7]TABLO-1'!K4:K32873,"=Bildirimsiz",'[7]TABLO-1'!I4:I32873,"=Uzun",'[7]TABLO-1'!D4:D32873,"=İPSALA")/P12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SUMIFS('[7]TABLO-1'!W4:W32873,'[7]TABLO-1'!H4:H32873,"=Dağıtım-OG",'[7]TABLO-1'!J4:J32873,"=Dışsal",'[7]TABLO-1'!K4:K32873,"=Bildirimsiz",'[7]TABLO-1'!I4:I32873,"=Uzun",'[7]TABLO-1'!D4:D32873,"=İPSALA")/P7</f>
        <v>0</v>
      </c>
      <c r="H9" s="10">
        <f>SUMIFS('[7]TABLO-1'!X4:X32873,'[7]TABLO-1'!H4:H32873,"=Dağıtım-OG",'[7]TABLO-1'!J4:J32873,"=Dışsal",'[7]TABLO-1'!K4:K32873,"=Bildirimsiz",'[7]TABLO-1'!I4:I32873,"=Uzun",'[7]TABLO-1'!D4:D32873,"=İPSALA")/P13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SUMIFS('[7]TABLO-1'!Y4:Y32873,'[7]TABLO-1'!H4:H32873,"=Dağıtım-OG",'[7]TABLO-1'!J4:J32873,"=Dışsal",'[7]TABLO-1'!K4:K32873,"=Bildirimsiz",'[7]TABLO-1'!I4:I32873,"=Uzun",'[7]TABLO-1'!D4:D32873,"=İPSALA")/P8</f>
        <v>0</v>
      </c>
      <c r="K9" s="10">
        <f>SUMIFS('[7]TABLO-1'!Z4:Z32873,'[7]TABLO-1'!H4:H32873,"=Dağıtım-OG",'[7]TABLO-1'!J4:J32873,"=Dışsal",'[7]TABLO-1'!K4:K32873,"=Bildirimsiz",'[7]TABLO-1'!I4:I32873,"=Uzun",'[7]TABLO-1'!D4:D32873,"=İPSALA")/P14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997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Sebep",'[7]TABLO-1'!K4:K32873,"=Bildirimsiz",'[7]TABLO-1'!I4:I32873,"=Uzun",'[7]TABLO-1'!D4:D32873,"=İPSALA")/P6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Sebep",'[7]TABLO-1'!K4:K32873,"=Bildirimsiz",'[7]TABLO-1'!I4:I32873,"=Uzun",'[7]TABLO-1'!D4:D32873,"=İPSALA")/P12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Sebep",'[7]TABLO-1'!K4:K32873,"=Bildirimsiz",'[7]TABLO-1'!I4:I32873,"=Uzun",'[7]TABLO-1'!D4:D32873,"=İPSALA")/P7</f>
        <v>0</v>
      </c>
      <c r="H10" s="10">
        <f>SUMIFS('[7]TABLO-1'!X4:X32873,'[7]TABLO-1'!H4:H32873,"=Dağıtım-OG",'[7]TABLO-1'!J4:J32873,"=Mücbir Sebep",'[7]TABLO-1'!K4:K32873,"=Bildirimsiz",'[7]TABLO-1'!I4:I32873,"=Uzun",'[7]TABLO-1'!D4:D32873,"=İPSALA")/P13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Sebep",'[7]TABLO-1'!K4:K32873,"=Bildirimsiz",'[7]TABLO-1'!I4:I32873,"=Uzun",'[7]TABLO-1'!D4:D32873,"=İPSALA")/P8</f>
        <v>0</v>
      </c>
      <c r="K10" s="10">
        <f>SUMIFS('[7]TABLO-1'!Z4:Z32873,'[7]TABLO-1'!H4:H32873,"=Dağıtım-OG",'[7]TABLO-1'!J4:J32873,"=Mücbir Sebep",'[7]TABLO-1'!K4:K32873,"=Bildirimsiz",'[7]TABLO-1'!I4:I32873,"=Uzun",'[7]TABLO-1'!D4:D32873,"=İPSALA")/P14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SUMIFS('[7]TABLO-1'!U4:U32873,'[7]TABLO-1'!H4:H32873,"=Dağıtım-OG",'[7]TABLO-1'!J4:J32873,"=Güvenlik",'[7]TABLO-1'!K4:K32873,"=Bildirimsiz",'[7]TABLO-1'!I4:I32873,"=Uzun",'[7]TABLO-1'!D4:D32873,"=İPSALA")/P6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SUMIFS('[7]TABLO-1'!V4:V32873,'[7]TABLO-1'!H4:H32873,"=Dağıtım-OG",'[7]TABLO-1'!J4:J32873,"=Güvenlik",'[7]TABLO-1'!K4:K32873,"=Bildirimsiz",'[7]TABLO-1'!I4:I32873,"=Uzun",'[7]TABLO-1'!D4:D32873,"=İPSALA")/P12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SUMIFS('[7]TABLO-1'!W4:W32873,'[7]TABLO-1'!H4:H32873,"=Dağıtım-OG",'[7]TABLO-1'!J4:J32873,"=Güvenlik",'[7]TABLO-1'!K4:K32873,"=Bildirimsiz",'[7]TABLO-1'!I4:I32873,"=Uzun",'[7]TABLO-1'!D4:D32873,"=İPSALA")/P7</f>
        <v>0</v>
      </c>
      <c r="H11" s="10">
        <f>SUMIFS('[7]TABLO-1'!X4:X32873,'[7]TABLO-1'!H4:H32873,"=Dağıtım-OG",'[7]TABLO-1'!J4:J32873,"=Güvenlik",'[7]TABLO-1'!K4:K32873,"=Bildirimsiz",'[7]TABLO-1'!I4:I32873,"=Uzun",'[7]TABLO-1'!D4:D32873,"=İPSALA")/P13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SUMIFS('[7]TABLO-1'!Y4:Y32873,'[7]TABLO-1'!H4:H32873,"=Dağıtım-OG",'[7]TABLO-1'!J4:J32873,"=Güvenlik",'[7]TABLO-1'!K4:K32873,"=Bildirimsiz",'[7]TABLO-1'!I4:I32873,"=Uzun",'[7]TABLO-1'!D4:D32873,"=İPSALA")/P8</f>
        <v>0</v>
      </c>
      <c r="K11" s="10">
        <f>SUMIFS('[7]TABLO-1'!Z4:Z32873,'[7]TABLO-1'!H4:H32873,"=Dağıtım-OG",'[7]TABLO-1'!J4:J32873,"=Güvenlik",'[7]TABLO-1'!K4:K32873,"=Bildirimsiz",'[7]TABLO-1'!I4:I32873,"=Uzun",'[7]TABLO-1'!D4:D32873,"=İPSALA")/P14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İşletmecisi",'[7]TABLO-1'!K4:K32873,"=Bildirimsiz",'[7]TABLO-1'!I4:I32873,"=Uzun",'[7]TABLO-1'!D4:D32873,"=İPSALA")/P6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işletmecisi",'[7]TABLO-1'!K4:K32873,"=Bildirimsiz",'[7]TABLO-1'!I4:I32873,"=Uzun",'[7]TABLO-1'!D4:D32873,"=İPSALA")/P12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İşletmecisi",'[7]TABLO-1'!K4:K32873,"=Bildirimsiz",'[7]TABLO-1'!I4:I32873,"=Uzun",'[7]TABLO-1'!D4:D32873,"=İPSALA")/P7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İşletmecisi",'[7]TABLO-1'!K4:K32873,"=Bildirimsiz",'[7]TABLO-1'!I4:I32873,"=Uzun",'[7]TABLO-1'!D4:D32873,"=İPSALA")/P13</f>
        <v>4.2539152119684953</v>
      </c>
      <c r="I12" s="10">
        <f t="shared" si="1"/>
        <v>4.0165293148089631</v>
      </c>
      <c r="J12" s="12">
        <f>SUMIFS('[7]TABLO-1'!Y4:Y32873,'[7]TABLO-1'!H4:H32873,"=Dağıtım-AG",'[7]TABLO-1'!J4:J32873,"=Şebeke İşletmecisi",'[7]TABLO-1'!K4:K32873,"=Bildirimsiz",'[7]TABLO-1'!I4:I32873,"=Uzun",'[7]TABLO-1'!D4:D32873,"=İPSALA")/P8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İşletmecisi",'[7]TABLO-1'!K4:K32873,"=Bildirimsiz",'[7]TABLO-1'!I4:I32873,"=Uzun",'[7]TABLO-1'!D4:D32873,"=İPSALA")/P14</f>
        <v>3.6774430791576096</v>
      </c>
      <c r="L12" s="10">
        <f t="shared" si="2"/>
        <v>3.4397635524152181</v>
      </c>
      <c r="M12" s="11">
        <f t="shared" si="3"/>
        <v>3.7351360584909732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SUMIFS('[7]TABLO-1'!U4:U32873,'[7]TABLO-1'!H4:H32873,"=Dağıtım-AG",'[7]TABLO-1'!J4:J32873,"=Dışsal",'[7]TABLO-1'!K4:K32873,"=Bildirimsiz",'[7]TABLO-1'!I4:I32873,"=Uzun",'[7]TABLO-1'!D4:D32873,"=İPSALA")/P6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SUMIFS('[7]TABLO-1'!V4:V32873,'[7]TABLO-1'!H4:H32873,"=Dağıtım-AG",'[7]TABLO-1'!J4:J32873,"=Dışsal",'[7]TABLO-1'!K4:K32873,"=Bildirimsiz",'[7]TABLO-1'!I4:I32873,"=Uzun",'[7]TABLO-1'!D4:D32873,"=İPSALA")/P12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SUMIFS('[7]TABLO-1'!W4:W32873,'[7]TABLO-1'!H4:H32873,"=Dağıtım-AG",'[7]TABLO-1'!J4:J32873,"=Dışsal",'[7]TABLO-1'!K4:K32873,"=Bildirimsiz",'[7]TABLO-1'!I4:I32873,"=Uzun",'[7]TABLO-1'!D4:D32873,"=İPSALA")/P7</f>
        <v>0</v>
      </c>
      <c r="H13" s="10">
        <f>SUMIFS('[7]TABLO-1'!X4:X32873,'[7]TABLO-1'!H4:H32873,"=Dağıtım-AG",'[7]TABLO-1'!J4:J32873,"=Dışsal",'[7]TABLO-1'!K4:K32873,"=Bildirimsiz",'[7]TABLO-1'!I4:I32873,"=Uzun",'[7]TABLO-1'!D4:D32873,"=İPSALA")/P13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SUMIFS('[7]TABLO-1'!Y4:Y32873,'[7]TABLO-1'!H4:H32873,"=Dağıtım-AG",'[7]TABLO-1'!J4:J32873,"=Dışsal",'[7]TABLO-1'!K4:K32873,"=Bildirimsiz",'[7]TABLO-1'!I4:I32873,"=Uzun",'[7]TABLO-1'!D4:D32873,"=İPSALA")/P8</f>
        <v>0</v>
      </c>
      <c r="K13" s="10">
        <f>SUMIFS('[7]TABLO-1'!Z4:Z32873,'[7]TABLO-1'!H4:H32873,"=Dağıtım-AG",'[7]TABLO-1'!J4:J32873,"=Dışsal",'[7]TABLO-1'!K4:K32873,"=Bildirimsiz",'[7]TABLO-1'!I4:I32873,"=Uzun",'[7]TABLO-1'!D4:D32873,"=İPSALA")/P14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8020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Sebep",'[7]TABLO-1'!K4:K32873,"=Bildirimsiz",'[7]TABLO-1'!I4:I32873,"=Uzun",'[7]TABLO-1'!D4:D32873,"=İPSALA")/P6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Sebep",'[7]TABLO-1'!K4:K32873,"=Bildirimsiz",'[7]TABLO-1'!I4:I32873,"=Uzun",'[7]TABLO-1'!D4:D32873,"=İPSALA")/P12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Sebep",'[7]TABLO-1'!K4:K32873,"=Bildirimsiz",'[7]TABLO-1'!I4:I32873,"=Uzun",'[7]TABLO-1'!D4:D32873,"=İPSALA")/P7</f>
        <v>0</v>
      </c>
      <c r="H14" s="10">
        <f>SUMIFS('[7]TABLO-1'!X4:X32873,'[7]TABLO-1'!H4:H32873,"=Dağıtım-AG",'[7]TABLO-1'!J4:J32873,"=Mücbir Sebep",'[7]TABLO-1'!K4:K32873,"=Bildirimsiz",'[7]TABLO-1'!I4:I32873,"=Uzun",'[7]TABLO-1'!D4:D32873,"=İPSALA")/P13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Sebep",'[7]TABLO-1'!K4:K32873,"=Bildirimsiz",'[7]TABLO-1'!I4:I32873,"=Uzun",'[7]TABLO-1'!D4:D32873,"=İPSALA")/P8</f>
        <v>0</v>
      </c>
      <c r="K14" s="10">
        <f>SUMIFS('[7]TABLO-1'!Z4:Z32873,'[7]TABLO-1'!H4:H32873,"=Dağıtım-AG",'[7]TABLO-1'!J4:J32873,"=Mücbir Sebep",'[7]TABLO-1'!K4:K32873,"=Bildirimsiz",'[7]TABLO-1'!I4:I32873,"=Uzun",'[7]TABLO-1'!D4:D32873,"=İPSALA")/P14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7569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SUMIFS('[7]TABLO-1'!U4:U32873,'[7]TABLO-1'!H4:H32873,"=Dağıtım-AG",'[7]TABLO-1'!J4:J32873,"=Güvenlik",'[7]TABLO-1'!K4:K32873,"=Bildirimsiz",'[7]TABLO-1'!I4:I32873,"=Uzun",'[7]TABLO-1'!D4:D32873,"=İPSALA")/P6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SUMIFS('[7]TABLO-1'!V4:V32873,'[7]TABLO-1'!H4:H32873,"=Dağıtım-AG",'[7]TABLO-1'!J4:J32873,"=Güvenlik",'[7]TABLO-1'!K4:K32873,"=Bildirimsiz",'[7]TABLO-1'!I4:I32873,"=Uzun",'[7]TABLO-1'!D4:D32873,"=İPSALA")/P12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SUMIFS('[7]TABLO-1'!W4:W32873,'[7]TABLO-1'!H4:H32873,"=Dağıtım-AG",'[7]TABLO-1'!J4:J32873,"=Güvenlik",'[7]TABLO-1'!K4:K32873,"=Bildirimsiz",'[7]TABLO-1'!I4:I32873,"=Uzun",'[7]TABLO-1'!D4:D32873,"=İPSALA")/P7</f>
        <v>0</v>
      </c>
      <c r="H15" s="10">
        <f>SUMIFS('[7]TABLO-1'!X4:X32873,'[7]TABLO-1'!H4:H32873,"=Dağıtım-AG",'[7]TABLO-1'!J4:J32873,"=Güvenlik",'[7]TABLO-1'!K4:K32873,"=Bildirimsiz",'[7]TABLO-1'!I4:I32873,"=Uzun",'[7]TABLO-1'!D4:D32873,"=İPSALA")/P13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SUMIFS('[7]TABLO-1'!Y4:Y32873,'[7]TABLO-1'!H4:H32873,"=Dağıtım-AG",'[7]TABLO-1'!J4:J32873,"=Güvenlik",'[7]TABLO-1'!K4:K32873,"=Bildirimsiz",'[7]TABLO-1'!I4:I32873,"=Uzun",'[7]TABLO-1'!D4:D32873,"=İPSALA")/P8</f>
        <v>0</v>
      </c>
      <c r="K15" s="10">
        <f>SUMIFS('[7]TABLO-1'!Z4:Z32873,'[7]TABLO-1'!H4:H32873,"=Dağıtım-AG",'[7]TABLO-1'!J4:J32873,"=Güvenlik",'[7]TABLO-1'!K4:K32873,"=Bildirimsiz",'[7]TABLO-1'!I4:I32873,"=Uzun",'[7]TABLO-1'!D4:D32873,"=İPSALA")/P14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15589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6.691244726048641</v>
      </c>
      <c r="H16" s="10">
        <f t="shared" si="4"/>
        <v>6.1240960104372686</v>
      </c>
      <c r="I16" s="10">
        <f t="shared" si="4"/>
        <v>6.1557452323821469</v>
      </c>
      <c r="J16" s="10">
        <f>SUM(J6:J15)</f>
        <v>27.679572976797544</v>
      </c>
      <c r="K16" s="10">
        <f>SUM(K6:K15)</f>
        <v>28.360888711927075</v>
      </c>
      <c r="L16" s="10">
        <f>SUM(L6:L15)</f>
        <v>28.316854093850861</v>
      </c>
      <c r="M16" s="11">
        <f t="shared" si="4"/>
        <v>16.967736846213381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8494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İşletmecisi",'[7]TABLO-1'!K4:K32873,"=Bildirimli",'[7]TABLO-1'!I4:I32873,"=Uzun",'[7]TABLO-1'!D4:D32873,"=İPSALA")/P6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İşletmecisi",'[7]TABLO-1'!K4:K32873,"=Bildirimli",'[7]TABLO-1'!I4:I32873,"=Uzun",'[7]TABLO-1'!D4:D32873,"=İPSALA")/P12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İşletmecisi",'[7]TABLO-1'!K4:K32873,"=Bildirimli",'[7]TABLO-1'!I4:I32873,"=Uzun",'[7]TABLO-1'!D4:D32873,"=İPSALA")/P7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İşletmecisi",'[7]TABLO-1'!K4:K32873,"=Bildirimli",'[7]TABLO-1'!I4:I32873,"=Uzun",'[7]TABLO-1'!D4:D32873,"=İPSALA")/P13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İşletmecisi",'[7]TABLO-1'!K4:K32873,"=Bildirimli",'[7]TABLO-1'!I4:I32873,"=Uzun",'[7]TABLO-1'!D4:D32873,"=İPSALA")/P8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İşletmecisi",'[7]TABLO-1'!K4:K32873,"=Bildirimli",'[7]TABLO-1'!I4:I32873,"=Uzun",'[7]TABLO-1'!D4:D32873,"=İPSALA")/P14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İşletmecisi",'[7]TABLO-1'!K4:K32873,"=Bildirimli",'[7]TABLO-1'!I4:I32873,"=Uzun",'[7]TABLO-1'!D4:D32873,"=İPSALA")/P6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İşletmecisi",'[7]TABLO-1'!K4:K32873,"=Bildirimli",'[7]TABLO-1'!I4:I32873,"=Uzun",'[7]TABLO-1'!D4:D32873,"=İPSALA")/P12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İşletmecisi",'[7]TABLO-1'!K4:K32873,"=Bildirimli",'[7]TABLO-1'!I4:I32873,"=Uzun",'[7]TABLO-1'!D4:D32873,"=İPSALA")/P7</f>
        <v>0.75854430379658422</v>
      </c>
      <c r="H22" s="10">
        <f>SUMIFS('[7]TABLO-1'!X4:X32873,'[7]TABLO-1'!H4:H32873,"=Dağıtım-OG",'[7]TABLO-1'!J4:J32873,"=Şebeke İşletmecisi",'[7]TABLO-1'!K4:K32873,"=Bildirimli",'[7]TABLO-1'!I4:I32873,"=Uzun",'[7]TABLO-1'!D4:D32873,"=İPSALA")/P13</f>
        <v>4.4561429757844344</v>
      </c>
      <c r="I22" s="10">
        <f t="shared" ref="I22:I25" si="6">IFERROR((((G22*$P$7)+(H22*$P$13))/$P$20),"0,00")</f>
        <v>4.249801820790057</v>
      </c>
      <c r="J22" s="10">
        <f>SUMIFS('[7]TABLO-1'!Y4:Y32873,'[7]TABLO-1'!H4:H32873,"=Dağıtım-OG",'[7]TABLO-1'!J4:J32873,"=Şebeke İşletmecisi",'[7]TABLO-1'!K4:K32873,"=Bildirimli",'[7]TABLO-1'!I4:I32873,"=Uzun",'[7]TABLO-1'!D4:D32873,"=İPSALA")/P8</f>
        <v>10.620936902538636</v>
      </c>
      <c r="K22" s="10">
        <f>SUMIFS('[7]TABLO-1'!Z4:Z32873,'[7]TABLO-1'!H4:H32873,"=Dağıtım-OG",'[7]TABLO-1'!J4:J32873,"=Şebeke İşletmecisi",'[7]TABLO-1'!K4:K32873,"=Bildirimli",'[7]TABLO-1'!I4:I32873,"=Uzun",'[7]TABLO-1'!D4:D32873,"=İPSALA")/P14</f>
        <v>0</v>
      </c>
      <c r="L22" s="10">
        <f t="shared" ref="L22:L25" si="7">IFERROR((((J22*$P$8)+(K22*$P$14))/$P$23),"0,00")</f>
        <v>0.6864495798353567</v>
      </c>
      <c r="M22" s="11">
        <f t="shared" ref="M22:M25" si="8">IFERROR((((F22*$P$17)+(I22*$P$20)+(L22*$P$23))/$P$26),"0,00")</f>
        <v>2.5113087342227449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SUMIFS('[7]TABLO-1'!U4:U32873,'[7]TABLO-1'!H4:H32873,"=Dağıtım-OG",'[7]TABLO-1'!J4:J32873,"=Güvenlik",'[7]TABLO-1'!K4:K32873,"=Bildirimli",'[7]TABLO-1'!I4:I32873,"=Uzun",'[7]TABLO-1'!D4:D32873,"=İPSALA")/P6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SUMIFS('[7]TABLO-1'!V4:V32873,'[7]TABLO-1'!H4:H32873,"=Dağıtım-OG",'[7]TABLO-1'!J4:J32873,"=Güvenlik",'[7]TABLO-1'!K4:K32873,"=Bildirimli",'[7]TABLO-1'!I4:I32873,"=Uzun",'[7]TABLO-1'!D4:D32873,"=İPSALA")/P12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SUMIFS('[7]TABLO-1'!W4:W32873,'[7]TABLO-1'!H4:H32873,"=Dağıtım-OG",'[7]TABLO-1'!J4:J32873,"=Güvenlik",'[7]TABLO-1'!K4:K32873,"=Bildirimli",'[7]TABLO-1'!I4:I32873,"=Uzun",'[7]TABLO-1'!D4:D32873,"=İPSALA")/P7</f>
        <v>0</v>
      </c>
      <c r="H23" s="10">
        <f>SUMIFS('[7]TABLO-1'!X4:X32873,'[7]TABLO-1'!H4:H32873,"=Dağıtım-OG",'[7]TABLO-1'!J4:J32873,"=Güvenlik",'[7]TABLO-1'!K4:K32873,"=Bildirimli",'[7]TABLO-1'!I4:I32873,"=Uzun",'[7]TABLO-1'!D4:D32873,"=İPSALA")/P13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SUMIFS('[7]TABLO-1'!Y4:Y32873,'[7]TABLO-1'!H4:H32873,"=Dağıtım-OG",'[7]TABLO-1'!J4:J32873,"=Güvenlik",'[7]TABLO-1'!K4:K32873,"=Bildirimli",'[7]TABLO-1'!I4:I32873,"=Uzun",'[7]TABLO-1'!D4:D32873,"=İPSALA")/P8</f>
        <v>0</v>
      </c>
      <c r="K23" s="10">
        <f>SUMIFS('[7]TABLO-1'!Z4:Z32873,'[7]TABLO-1'!H4:H32873,"=Dağıtım-OG",'[7]TABLO-1'!J4:J32873,"=Güvenlik",'[7]TABLO-1'!K4:K32873,"=Bildirimli",'[7]TABLO-1'!I4:I32873,"=Uzun",'[7]TABLO-1'!D4:D32873,"=İPSALA")/P14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8092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İşletmecisi",'[7]TABLO-1'!K4:K32873,"=Bildirimli",'[7]TABLO-1'!I4:I32873,"=Uzun",'[7]TABLO-1'!D4:D32873,"=İPSALA")/P6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İşletmecisi",'[7]TABLO-1'!K4:K32873,"=Bildirimli",'[7]TABLO-1'!I4:I32873,"=Uzun",'[7]TABLO-1'!D4:D32873,"=İPSALA")/P12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İşletmecisi",'[7]TABLO-1'!K4:K32873,"=Bildirimli",'[7]TABLO-1'!I4:I32873,"=Uzun",'[7]TABLO-1'!D4:D32873,"=İPSALA")/P7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İşletmecisi",'[7]TABLO-1'!K4:K32873,"=Bildirimli",'[7]TABLO-1'!I4:I32873,"=Uzun",'[7]TABLO-1'!D4:D32873,"=İPSALA")/P13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İşletmecisi",'[7]TABLO-1'!K4:K32873,"=Bildirimli",'[7]TABLO-1'!I4:I32873,"=Uzun",'[7]TABLO-1'!D4:D32873,"=İPSALA")/P8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İşletmecisi",'[7]TABLO-1'!K4:K32873,"=Bildirimli",'[7]TABLO-1'!I4:I32873,"=Uzun",'[7]TABLO-1'!D4:D32873,"=İPSALA")/P14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SUMIFS('[7]TABLO-1'!U4:U32873,'[7]TABLO-1'!H4:H32873,"=Dağıtım-AG",'[7]TABLO-1'!J4:J32873,"=Güvenlik",'[7]TABLO-1'!K4:K32873,"=Bildirimli",'[7]TABLO-1'!I4:I32873,"=Uzun",'[7]TABLO-1'!D4:D32873,"=İPSALA")/P6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SUMIFS('[7]TABLO-1'!V4:V32873,'[7]TABLO-1'!H4:H32873,"=Dağıtım-AG",'[7]TABLO-1'!J4:J32873,"=Güvenlik",'[7]TABLO-1'!K4:K32873,"=Bildirimli",'[7]TABLO-1'!I4:I32873,"=Uzun",'[7]TABLO-1'!D4:D32873,"=İPSALA")/P12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SUMIFS('[7]TABLO-1'!W4:W32873,'[7]TABLO-1'!H4:H32873,"=Dağıtım-AG",'[7]TABLO-1'!J4:J32873,"=Güvenlik",'[7]TABLO-1'!K4:K32873,"=Bildirimli",'[7]TABLO-1'!I4:I32873,"=Uzun",'[7]TABLO-1'!D4:D32873,"=İPSALA")/P7</f>
        <v>0</v>
      </c>
      <c r="H25" s="10">
        <f>SUMIFS('[7]TABLO-1'!X4:X32873,'[7]TABLO-1'!H4:H32873,"=Dağıtım-AG",'[7]TABLO-1'!J4:J32873,"=Güvenlik",'[7]TABLO-1'!K4:K32873,"=Bildirimli",'[7]TABLO-1'!I4:I32873,"=Uzun",'[7]TABLO-1'!D4:D32873,"=İPSALA")/P13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SUMIFS('[7]TABLO-1'!Y4:Y32873,'[7]TABLO-1'!H4:H32873,"=Dağıtım-AG",'[7]TABLO-1'!J4:J32873,"=Güvenlik",'[7]TABLO-1'!K4:K32873,"=Bildirimli",'[7]TABLO-1'!I4:I32873,"=Uzun",'[7]TABLO-1'!D4:D32873,"=İPSALA")/P8</f>
        <v>0</v>
      </c>
      <c r="K25" s="10">
        <f>SUMIFS('[7]TABLO-1'!Z4:Z32873,'[7]TABLO-1'!H4:H32873,"=Dağıtım-AG",'[7]TABLO-1'!J4:J32873,"=Güvenlik",'[7]TABLO-1'!K4:K32873,"=Bildirimli",'[7]TABLO-1'!I4:I32873,"=Uzun",'[7]TABLO-1'!D4:D32873,"=İPSALA")/P14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0.75854430379658422</v>
      </c>
      <c r="H26" s="10">
        <f t="shared" si="9"/>
        <v>4.4561429757844344</v>
      </c>
      <c r="I26" s="10">
        <f t="shared" si="9"/>
        <v>4.249801820790057</v>
      </c>
      <c r="J26" s="10">
        <f t="shared" si="9"/>
        <v>10.620936902538636</v>
      </c>
      <c r="K26" s="10">
        <f t="shared" si="9"/>
        <v>0</v>
      </c>
      <c r="L26" s="10">
        <f t="shared" si="9"/>
        <v>0.6864495798353567</v>
      </c>
      <c r="M26" s="11">
        <f t="shared" si="9"/>
        <v>2.5113087342227449</v>
      </c>
      <c r="O26" s="43" t="s">
        <v>22</v>
      </c>
      <c r="P26" s="44">
        <f>P20+P17+P23</f>
        <v>16586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İşletmecisi",'[7]TABLO-1'!K4:K32873,"=Bildirimsiz",'[7]TABLO-1'!I4:I32873,"=Uzun",'[7]TABLO-1'!D4:D32873,"=İPSALA")/P6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İşletmecisi",'[7]TABLO-1'!K4:K32873,"=Bildirimsiz",'[7]TABLO-1'!I4:I32873,"=Uzun",'[7]TABLO-1'!D4:D32873,"=İPSALA")/P12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İşletmecisi",'[7]TABLO-1'!K4:K32873,"=Bildirimsiz",'[7]TABLO-1'!I4:I32873,"=Uzun",'[7]TABLO-1'!D4:D32873,"=İPSALA")/P7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İşletmecisi",'[7]TABLO-1'!K4:K32873,"=Bildirimsiz",'[7]TABLO-1'!I4:I32873,"=Uzun",'[7]TABLO-1'!D4:D32873,"=İPSALA")/P13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İşletmecisi",'[7]TABLO-1'!K4:K32873,"=Bildirimsiz",'[7]TABLO-1'!I4:I32873,"=Uzun",'[7]TABLO-1'!D4:D32873,"=İPSALA")/P8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İşletmecisi",'[7]TABLO-1'!K4:K32873,"=bildirimsiz",'[7]TABLO-1'!I4:I32873,"=Uzun",'[7]TABLO-1'!D4:D32873,"=İPSALA")/P14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Sebep",'[7]TABLO-1'!K4:K32873,"=Bildirimsiz",'[7]TABLO-1'!I4:I32873,"=Uzun",'[7]TABLO-1'!D4:D32873,"=İPSALA")/P6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Sebep",'[7]TABLO-1'!K4:K32873,"=Bildirimsiz",'[7]TABLO-1'!I4:I32873,"=Uzun",'[7]TABLO-1'!D4:D32873,"=İPSALA")/P12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Sebep",'[7]TABLO-1'!K4:K32873,"=Bildirimsiz",'[7]TABLO-1'!I4:I32873,"=Uzun",'[7]TABLO-1'!D4:D32873,"=İPSALA")/P7</f>
        <v>0</v>
      </c>
      <c r="H32" s="10">
        <f>SUMIFS('[7]TABLO-1'!R4:R32873,'[7]TABLO-1'!H4:H32873,"=İletim",'[7]TABLO-1'!J4:J32873,"=Mücbir Sebep",'[7]TABLO-1'!K4:K32873,"=Bildirimsiz",'[7]TABLO-1'!I4:I32873,"=Uzun",'[7]TABLO-1'!D4:D32873,"=İPSALA")/P13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Sebep",'[7]TABLO-1'!K4:K32873,"=Bildirimsiz",'[7]TABLO-1'!I4:I32873,"=Uzun",'[7]TABLO-1'!D4:D32873,"=İPSALA")/P8</f>
        <v>0</v>
      </c>
      <c r="K32" s="10">
        <f>SUMIFS('[7]TABLO-1'!T4:T32873,'[7]TABLO-1'!H4:H32873,"=İletim",'[7]TABLO-1'!J4:J32873,"=Mücbir Sebep",'[7]TABLO-1'!K4:K32873,"=bildirimsiz",'[7]TABLO-1'!I4:I32873,"=Uzun",'[7]TABLO-1'!D4:D32873,"=İPSALA")/P14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İşletmecisi",'[7]TABLO-1'!K4:K32873,"=Bildirimsiz",'[7]TABLO-1'!I4:I32873,"=Uzun",'[7]TABLO-1'!D4:D32873,"=İPSALA")/P6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İşletmecisi",'[7]TABLO-1'!K4:K32873,"=Bildirimsiz",'[7]TABLO-1'!I4:I32873,"=Uzun",'[7]TABLO-1'!D4:D32873,"=İPSALA")/P12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İşletmecisi",'[7]TABLO-1'!K4:K32873,"=Bildirimsiz",'[7]TABLO-1'!I4:I32873,"=Uzun",'[7]TABLO-1'!D4:D32873,"=İPSALA")/P7</f>
        <v>0.13502109704641349</v>
      </c>
      <c r="H33" s="10">
        <f>SUMIFS('[7]TABLO-1'!R4:R32873,'[7]TABLO-1'!H4:H32873,"=Dağıtım-OG",'[7]TABLO-1'!J4:J32873,"=Şebeke İşletmecisi",'[7]TABLO-1'!K4:K32873,"=Bildirimsiz",'[7]TABLO-1'!I4:I32873,"=Uzun",'[7]TABLO-1'!D4:D32873,"=İPSALA")/P13</f>
        <v>9.2768079800498754E-2</v>
      </c>
      <c r="I33" s="10">
        <f t="shared" si="11"/>
        <v>9.5125971273840357E-2</v>
      </c>
      <c r="J33" s="10">
        <f>SUMIFS('[7]TABLO-1'!S4:S32873,'[7]TABLO-1'!H4:H32873,"=Dağıtım-OG",'[7]TABLO-1'!J4:J32873,"=Şebeke İşletmecisi",'[7]TABLO-1'!K4:K32873,"=Bildirimsiz",'[7]TABLO-1'!I4:I32873,"=Uzun",'[7]TABLO-1'!D4:D32873,"=İPSALA")/P8</f>
        <v>0.59847036328871894</v>
      </c>
      <c r="K33" s="10">
        <f>SUMIFS('[7]TABLO-1'!T4:T32873,'[7]TABLO-1'!H4:H32873,"=Dağıtım-OG",'[7]TABLO-1'!J4:J32873,"=Şebeke İşletmecisi",'[7]TABLO-1'!K4:K32873,"=bildirimsiz",'[7]TABLO-1'!I4:I32873,"=Uzun",'[7]TABLO-1'!D4:D32873,"=İPSALA")/P14</f>
        <v>0.31549742370194211</v>
      </c>
      <c r="L33" s="10">
        <f t="shared" si="12"/>
        <v>0.33378645575877408</v>
      </c>
      <c r="M33" s="11">
        <f t="shared" si="13"/>
        <v>0.21156396961292656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SUMIFS('[7]TABLO-1'!O4:O32873,'[7]TABLO-1'!H4:H32873,"=Dağıtım-OG",'[7]TABLO-1'!J4:J32873,"=Dışsal",'[7]TABLO-1'!K4:K32873,"=Bildirimsiz",'[7]TABLO-1'!I4:I32873,"=Uzun",'[7]TABLO-1'!D4:D32873,"=İPSALA")/P6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SUMIFS('[7]TABLO-1'!P4:P32873,'[7]TABLO-1'!H4:H32873,"=Dağıtım-OG",'[7]TABLO-1'!J4:J32873,"=Dışsal",'[7]TABLO-1'!K4:K32873,"=Bildirimsiz",'[7]TABLO-1'!I4:I32873,"=Uzun",'[7]TABLO-1'!D4:D32873,"=İPSALA")/P12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SUMIFS('[7]TABLO-1'!Q4:Q32873,'[7]TABLO-1'!H4:H32873,"=Dağıtım-OG",'[7]TABLO-1'!J4:J32873,"=Dışsal",'[7]TABLO-1'!K4:K32873,"=Bildirimsiz",'[7]TABLO-1'!I4:I32873,"=Uzun",'[7]TABLO-1'!D4:D32873,"=İPSALA")/P7</f>
        <v>0</v>
      </c>
      <c r="H34" s="10">
        <f>SUMIFS('[7]TABLO-1'!R4:R32873,'[7]TABLO-1'!H4:H32873,"=Dağıtım-OG",'[7]TABLO-1'!J4:J32873,"=Dışsal",'[7]TABLO-1'!K4:K32873,"=Bildirimsiz",'[7]TABLO-1'!I4:I32873,"=Uzun",'[7]TABLO-1'!D4:D32873,"=İPSALA")/P13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SUMIFS('[7]TABLO-1'!S4:S32873,'[7]TABLO-1'!H4:H32873,"=Dağıtım-OG",'[7]TABLO-1'!J4:J32873,"=Dışsal",'[7]TABLO-1'!K4:K32873,"=Bildirimsiz",'[7]TABLO-1'!I4:I32873,"=Uzun",'[7]TABLO-1'!D4:D32873,"=İPSALA")/P8</f>
        <v>0</v>
      </c>
      <c r="K34" s="10">
        <f>SUMIFS('[7]TABLO-1'!T4:T32873,'[7]TABLO-1'!H4:H32873,"=Dağıtım-OG",'[7]TABLO-1'!J4:J32873,"=Dışsal",'[7]TABLO-1'!K4:K32873,"=bildirimsiz",'[7]TABLO-1'!I4:I32873,"=Uzun",'[7]TABLO-1'!D4:D32873,"=İPSALA")/P14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Sebep",'[7]TABLO-1'!K4:K32873,"=Bildirimsiz",'[7]TABLO-1'!I4:I32873,"=Uzun",'[7]TABLO-1'!D4:D32873,"=İPSALA")/P6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Sebep",'[7]TABLO-1'!K4:K32873,"=Bildirimsiz",'[7]TABLO-1'!I4:I32873,"=Uzun",'[7]TABLO-1'!D4:D32873,"=İPSALA")/P12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Sebep",'[7]TABLO-1'!K4:K32873,"=Bildirimsiz",'[7]TABLO-1'!I4:I32873,"=Uzun",'[7]TABLO-1'!D4:D32873,"=İPSALA")/P7</f>
        <v>0</v>
      </c>
      <c r="H35" s="10">
        <f>SUMIFS('[7]TABLO-1'!R4:R32873,'[7]TABLO-1'!H4:H32873,"=Dağıtım-OG",'[7]TABLO-1'!J4:J32873,"=Mücbir Sebep",'[7]TABLO-1'!K4:K32873,"=Bildirimsiz",'[7]TABLO-1'!I4:I32873,"=Uzun",'[7]TABLO-1'!D4:D32873,"=İPSALA")/P13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Sebep",'[7]TABLO-1'!K4:K32873,"=Bildirimsiz",'[7]TABLO-1'!I4:I32873,"=Uzun",'[7]TABLO-1'!D4:D32873,"=İPSALA")/P8</f>
        <v>0</v>
      </c>
      <c r="K35" s="10">
        <f>SUMIFS('[7]TABLO-1'!T4:T32873,'[7]TABLO-1'!H4:H32873,"=Dağıtım-OG",'[7]TABLO-1'!J4:J32873,"=Mücbir Sebep",'[7]TABLO-1'!K4:K32873,"=bildirimsiz",'[7]TABLO-1'!I4:I32873,"=Uzun",'[7]TABLO-1'!D4:D32873,"=İPSALA")/P14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SUMIFS('[7]TABLO-1'!O4:O32873,'[7]TABLO-1'!H4:H32873,"=Dağıtım-OG",'[7]TABLO-1'!J4:J32873,"=Güvenlik",'[7]TABLO-1'!K4:K32873,"=Bildirimsiz",'[7]TABLO-1'!I4:I32873,"=Uzun",'[7]TABLO-1'!D4:D32873,"=İPSALA")/P6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SUMIFS('[7]TABLO-1'!P4:P32873,'[7]TABLO-1'!H4:H32873,"=Dağıtım-OG",'[7]TABLO-1'!J4:J32873,"=Güvenlik",'[7]TABLO-1'!K4:K32873,"=Bildirimsiz",'[7]TABLO-1'!I4:I32873,"=Uzun",'[7]TABLO-1'!D4:D32873,"=İPSALA")/P12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SUMIFS('[7]TABLO-1'!Q4:Q32873,'[7]TABLO-1'!H4:H32873,"=Dağıtım-OG",'[7]TABLO-1'!J4:J32873,"=Güvenlik",'[7]TABLO-1'!K4:K32873,"=Bildirimsiz",'[7]TABLO-1'!I4:I32873,"=Uzun",'[7]TABLO-1'!D4:D32873,"=İPSALA")/P7</f>
        <v>0</v>
      </c>
      <c r="H36" s="10">
        <f>SUMIFS('[7]TABLO-1'!R4:R32873,'[7]TABLO-1'!H4:H32873,"=Dağıtım-OG",'[7]TABLO-1'!J4:J32873,"=Güvenlik",'[7]TABLO-1'!K4:K32873,"=Bildirimsiz",'[7]TABLO-1'!I4:I32873,"=Uzun",'[7]TABLO-1'!D4:D32873,"=İPSALA")/P13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SUMIFS('[7]TABLO-1'!S4:S32873,'[7]TABLO-1'!H4:H32873,"=Dağıtım-OG",'[7]TABLO-1'!J4:J32873,"=Güvenlik",'[7]TABLO-1'!K4:K32873,"=Bildirimsiz",'[7]TABLO-1'!I4:I32873,"=Uzun",'[7]TABLO-1'!D4:D32873,"=İPSALA")/P8</f>
        <v>0</v>
      </c>
      <c r="K36" s="10">
        <f>SUMIFS('[7]TABLO-1'!T4:T32873,'[7]TABLO-1'!H4:H32873,"=Dağıtım-OG",'[7]TABLO-1'!J4:J32873,"=Güvenlik",'[7]TABLO-1'!K4:K32873,"=bildirimsiz",'[7]TABLO-1'!I4:I32873,"=Uzun",'[7]TABLO-1'!D4:D32873,"=İPSALA")/P14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İşletmecisi",'[7]TABLO-1'!K4:K32873,"=Bildirimsiz",'[7]TABLO-1'!I4:I32873,"=Uzun",'[7]TABLO-1'!D4:D32873,"=İPSALA")/P6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İşletmecisi",'[7]TABLO-1'!K4:K32873,"=Bildirimsiz",'[7]TABLO-1'!I4:I32873,"=Uzun",'[7]TABLO-1'!D4:D32873,"=İPSALA")/P12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İşletmecisi",'[7]TABLO-1'!K4:K32873,"=Bildirimsiz",'[7]TABLO-1'!I4:I32873,"=Uzun",'[7]TABLO-1'!D4:D32873,"=İPSALA")/P7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İşletmecisi",'[7]TABLO-1'!K4:K32873,"=Bildirimsiz",'[7]TABLO-1'!I4:I32873,"=Uzun",'[7]TABLO-1'!D4:D32873,"=İPSALA")/P13</f>
        <v>4.8129675810473817E-2</v>
      </c>
      <c r="I37" s="10">
        <f t="shared" si="11"/>
        <v>4.5443842712502944E-2</v>
      </c>
      <c r="J37" s="12">
        <f>SUMIFS('[7]TABLO-1'!S4:S32873,'[7]TABLO-1'!H4:H32873,"=Dağıtım-AG",'[7]TABLO-1'!J4:J32873,"=Şebeke İşletmecisi",'[7]TABLO-1'!K4:K32873,"=Bildirimsiz",'[7]TABLO-1'!I4:I32873,"=Uzun",'[7]TABLO-1'!D4:D32873,"=İPSALA")/P8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İşletmecisi",'[7]TABLO-1'!K4:K32873,"=bildirimsiz",'[7]TABLO-1'!I4:I32873,"=Uzun",'[7]TABLO-1'!D4:D32873,"=İPSALA")/P14</f>
        <v>2.9594398203197252E-2</v>
      </c>
      <c r="L37" s="10">
        <f t="shared" si="12"/>
        <v>2.768166089965398E-2</v>
      </c>
      <c r="M37" s="11">
        <f t="shared" si="13"/>
        <v>3.6778005546846737E-2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SUMIFS('[7]TABLO-1'!O4:O32873,'[7]TABLO-1'!H4:H32873,"=Dağıtım-AG",'[7]TABLO-1'!J4:J32873,"=Dışsal",'[7]TABLO-1'!K4:K32873,"=Bildirimsiz",'[7]TABLO-1'!I4:I32873,"=Uzun",'[7]TABLO-1'!D4:D32873,"=İPSALA")/P6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SUMIFS('[7]TABLO-1'!P4:P32873,'[7]TABLO-1'!H4:H32873,"=Dağıtım-AG",'[7]TABLO-1'!J4:J32873,"=Dışsal",'[7]TABLO-1'!K4:K32873,"=Bildirimsiz",'[7]TABLO-1'!I4:I32873,"=Uzun",'[7]TABLO-1'!D4:D32873,"=İPSALA")/P12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SUMIFS('[7]TABLO-1'!Q4:Q32873,'[7]TABLO-1'!H4:H32873,"=Dağıtım-AG",'[7]TABLO-1'!J4:J32873,"=Dışsal",'[7]TABLO-1'!K4:K32873,"=Bildirimsiz",'[7]TABLO-1'!I4:I32873,"=Uzun",'[7]TABLO-1'!D4:D32873,"=İPSALA")/P7</f>
        <v>0</v>
      </c>
      <c r="H38" s="10">
        <f>SUMIFS('[7]TABLO-1'!R4:R32873,'[7]TABLO-1'!H4:H32873,"=Dağıtım-AG",'[7]TABLO-1'!J4:J32873,"=Dışsal",'[7]TABLO-1'!K4:K32873,"=Bildirimsiz",'[7]TABLO-1'!I4:I32873,"=Uzun",'[7]TABLO-1'!D4:D32873,"=İPSALA")/P13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SUMIFS('[7]TABLO-1'!S4:S32873,'[7]TABLO-1'!H4:H32873,"=Dağıtım-AG",'[7]TABLO-1'!J4:J32873,"=Dışsal",'[7]TABLO-1'!K4:K32873,"=Bildirimsiz",'[7]TABLO-1'!I4:I32873,"=Uzun",'[7]TABLO-1'!D4:D32873,"=İPSALA")/P8</f>
        <v>0</v>
      </c>
      <c r="K38" s="10">
        <f>SUMIFS('[7]TABLO-1'!T4:T32873,'[7]TABLO-1'!H4:H32873,"=Dağıtım-AG",'[7]TABLO-1'!J4:J32873,"=Dışsal",'[7]TABLO-1'!K4:K32873,"=bildirimsiz",'[7]TABLO-1'!I4:I32873,"=Uzun",'[7]TABLO-1'!D4:D32873,"=İPSALA")/P14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Sebep",'[7]TABLO-1'!K4:K32873,"=Bildirimsiz",'[7]TABLO-1'!I4:I32873,"=Uzun",'[7]TABLO-1'!D4:D32873,"=İPSALA")/P6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Sebep",'[7]TABLO-1'!K4:K32873,"=Bildirimsiz",'[7]TABLO-1'!I4:I32873,"=Uzun",'[7]TABLO-1'!D4:D32873,"=İPSALA")/P12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Sebep",'[7]TABLO-1'!K4:K32873,"=Bildirimsiz",'[7]TABLO-1'!I4:I32873,"=Uzun",'[7]TABLO-1'!D4:D32873,"=İPSALA")/P7</f>
        <v>0</v>
      </c>
      <c r="H39" s="10">
        <f>SUMIFS('[7]TABLO-1'!R4:R32873,'[7]TABLO-1'!H4:H32873,"=Dağıtım-AG",'[7]TABLO-1'!J4:J32873,"=Mücbir Sebep",'[7]TABLO-1'!K4:K32873,"=Bildirimsiz",'[7]TABLO-1'!I4:I32873,"=Uzun",'[7]TABLO-1'!D4:D32873,"=İPSALA")/P13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Sebep",'[7]TABLO-1'!K4:K32873,"=Bildirimsiz",'[7]TABLO-1'!I4:I32873,"=Uzun",'[7]TABLO-1'!D4:D32873,"=İPSALA")/P8</f>
        <v>0</v>
      </c>
      <c r="K39" s="10">
        <f>SUMIFS('[7]TABLO-1'!T4:T32873,'[7]TABLO-1'!H4:H32873,"=Dağıtım-AG",'[7]TABLO-1'!J4:J32873,"=Mücbir Sebep",'[7]TABLO-1'!K4:K32873,"=bildirimsiz",'[7]TABLO-1'!I4:I32873,"=Uzun",'[7]TABLO-1'!D4:D32873,"=İPSALA")/P14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SUMIFS('[7]TABLO-1'!O4:O32873,'[7]TABLO-1'!H4:H32873,"=Dağıtım-AG",'[7]TABLO-1'!J4:J32873,"=Güvenlik",'[7]TABLO-1'!K4:K32873,"=Bildirimsiz",'[7]TABLO-1'!I4:I32873,"=Uzun",'[7]TABLO-1'!D4:D32873,"=İPSALA")/P6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SUMIFS('[7]TABLO-1'!P4:P32873,'[7]TABLO-1'!H4:H32873,"=Dağıtım-AG",'[7]TABLO-1'!J4:J32873,"=Güvenlik",'[7]TABLO-1'!K4:K32873,"=Bildirimsiz",'[7]TABLO-1'!I4:I32873,"=Uzun",'[7]TABLO-1'!D4:D32873,"=İPSALA")/P12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SUMIFS('[7]TABLO-1'!Q4:Q32873,'[7]TABLO-1'!H4:H32873,"=Dağıtım-AG",'[7]TABLO-1'!J4:J32873,"=Güvenlik",'[7]TABLO-1'!K4:K32873,"=Bildirimsiz",'[7]TABLO-1'!I4:I32873,"=Uzun",'[7]TABLO-1'!D4:D32873,"=İPSALA")/P7</f>
        <v>0</v>
      </c>
      <c r="H40" s="10">
        <f>SUMIFS('[7]TABLO-1'!R4:R32873,'[7]TABLO-1'!H4:H32873,"=Dağıtım-AG",'[7]TABLO-1'!J4:J32873,"=Güvenlik",'[7]TABLO-1'!K4:K32873,"=Bildirimsiz",'[7]TABLO-1'!I4:I32873,"=Uzun",'[7]TABLO-1'!D4:D32873,"=İPSALA")/P13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SUMIFS('[7]TABLO-1'!S4:S32873,'[7]TABLO-1'!H4:H32873,"=Dağıtım-AG",'[7]TABLO-1'!J4:J32873,"=Güvenlik",'[7]TABLO-1'!K4:K32873,"=Bildirimsiz",'[7]TABLO-1'!I4:I32873,"=Uzun",'[7]TABLO-1'!D4:D32873,"=İPSALA")/P8</f>
        <v>0</v>
      </c>
      <c r="K40" s="10">
        <f>SUMIFS('[7]TABLO-1'!T4:T32873,'[7]TABLO-1'!H4:H32873,"=Dağıtım-AG",'[7]TABLO-1'!J4:J32873,"=Güvenlik",'[7]TABLO-1'!K4:K32873,"=bildirimsiz",'[7]TABLO-1'!I4:I32873,"=Uzun",'[7]TABLO-1'!D4:D32873,"=İPSALA")/P14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0.13502109704641349</v>
      </c>
      <c r="H41" s="10">
        <f t="shared" si="14"/>
        <v>0.14089775561097256</v>
      </c>
      <c r="I41" s="10">
        <f t="shared" si="14"/>
        <v>0.1405698139863433</v>
      </c>
      <c r="J41" s="10">
        <f t="shared" si="14"/>
        <v>0.59847036328871894</v>
      </c>
      <c r="K41" s="10">
        <f t="shared" si="14"/>
        <v>0.34509182190513937</v>
      </c>
      <c r="L41" s="10">
        <f t="shared" si="14"/>
        <v>0.36146811665842804</v>
      </c>
      <c r="M41" s="10">
        <f t="shared" si="14"/>
        <v>0.2483419751597733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İşletmecisi",'[7]TABLO-1'!K4:K32873,"=Bildirimli",'[7]TABLO-1'!I4:I32873,"=Uzun",'[7]TABLO-1'!D4:D32873,"=İPSALA")/P6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İşletmecisi",'[7]TABLO-1'!K4:K32873,"=Bildirimli",'[7]TABLO-1'!I4:I32873,"=Uzun",'[7]TABLO-1'!D4:D32873,"=İPSALA")/P12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İşletmecisi",'[7]TABLO-1'!K4:K32873,"=Bildirimli",'[7]TABLO-1'!I4:I32873,"=Uzun",'[7]TABLO-1'!D4:D32873,"=İPSALA")/P7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İşletmecisi",'[7]TABLO-1'!K4:K32873,"=Bildirimli",'[7]TABLO-1'!I4:I32873,"=Uzun",'[7]TABLO-1'!D4:D32873,"=İPSALA")/P13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İşletmecisi",'[7]TABLO-1'!K4:K32873,"=Bildirimli",'[7]TABLO-1'!I4:I32873,"=Uzun",'[7]TABLO-1'!D4:D32873,"=İPSALA")/P8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İşletmecisi",'[7]TABLO-1'!K4:K32873,"=bildirimli",'[7]TABLO-1'!I4:I32873,"=Uzun",'[7]TABLO-1'!D4:D32873,"=İPSALA")/P14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İşletmecisi",'[7]TABLO-1'!K4:K32873,"=Bildirimli",'[7]TABLO-1'!I4:I32873,"=Uzun",'[7]TABLO-1'!D4:D32873,"=İPSALA")/P6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İşletmecisi",'[7]TABLO-1'!K4:K32873,"=Bildirimli",'[7]TABLO-1'!I4:I32873,"=Uzun",'[7]TABLO-1'!D4:D32873,"=İPSALA")/P12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İşletmecisi",'[7]TABLO-1'!K4:K32873,"=Bildirimli",'[7]TABLO-1'!I4:I32873,"=Uzun",'[7]TABLO-1'!D4:D32873,"=İPSALA")/P7</f>
        <v>6.3291139240506328E-3</v>
      </c>
      <c r="H47" s="10">
        <f>SUMIFS('[7]TABLO-1'!R4:R32873,'[7]TABLO-1'!H4:H32873,"=Dağıtım-OG",'[7]TABLO-1'!J4:J32873,"=Şebeke İşletmecisi",'[7]TABLO-1'!K4:K32873,"=Bildirimli",'[7]TABLO-1'!I4:I32873,"=Uzun",'[7]TABLO-1'!D4:D32873,"=İPSALA")/P13</f>
        <v>2.9426433915211971E-2</v>
      </c>
      <c r="I47" s="10">
        <f t="shared" ref="I47:I50" si="16">IFERROR((((G47*$P$7)+(H47*$P$13))/$P$20),"0,00")</f>
        <v>2.8137508829762185E-2</v>
      </c>
      <c r="J47" s="10">
        <f>SUMIFS('[7]TABLO-1'!S4:S32873,'[7]TABLO-1'!H4:H32873,"=Dağıtım-OG",'[7]TABLO-1'!J4:J32873,"=Şebeke İşletmecisi",'[7]TABLO-1'!K4:K32873,"=Bildirimli",'[7]TABLO-1'!I4:I32873,"=Uzun",'[7]TABLO-1'!D4:D32873,"=İPSALA")/P8</f>
        <v>8.6042065009560229E-2</v>
      </c>
      <c r="K47" s="10">
        <f>SUMIFS('[7]TABLO-1'!T4:T32873,'[7]TABLO-1'!H4:H32873,"=Dağıtım-OG",'[7]TABLO-1'!J4:J32873,"=Şebeke İşletmecisi",'[7]TABLO-1'!K4:K32873,"=bildirimli",'[7]TABLO-1'!I4:I32873,"=Uzun",'[7]TABLO-1'!D4:D32873,"=İPSALA")/P14</f>
        <v>0</v>
      </c>
      <c r="L47" s="10">
        <f t="shared" ref="L47:L50" si="17">IFERROR((((J47*$P$8)+(K47*$P$14))/$P$23),"0,00")</f>
        <v>5.5610479485912008E-3</v>
      </c>
      <c r="M47" s="11">
        <f t="shared" ref="M47:M50" si="18">IFERROR((((F47*$P$17)+(I47*$P$20)+(L47*$P$23))/$P$26),"0,00")</f>
        <v>1.712287471361389E-2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SUMIFS('[7]TABLO-1'!O4:O32873,'[7]TABLO-1'!H4:H32873,"=Dağıtım-OG",'[7]TABLO-1'!J4:J32873,"=Güvenlik",'[7]TABLO-1'!K4:K32873,"=Bildirimli",'[7]TABLO-1'!I4:I32873,"=Uzun",'[7]TABLO-1'!D4:D32873,"=İPSALA")/P6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SUMIFS('[7]TABLO-1'!P4:P32873,'[7]TABLO-1'!H4:H32873,"=Dağıtım-OG",'[7]TABLO-1'!J4:J32873,"=Güvenlik",'[7]TABLO-1'!K4:K32873,"=Bildirimli",'[7]TABLO-1'!I4:I32873,"=Uzun",'[7]TABLO-1'!D4:D32873,"=İPSALA")/P12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SUMIFS('[7]TABLO-1'!Q4:Q32873,'[7]TABLO-1'!H4:H32873,"=Dağıtım-OG",'[7]TABLO-1'!J4:J32873,"=Güvenlik",'[7]TABLO-1'!K4:K32873,"=Bildirimli",'[7]TABLO-1'!I4:I32873,"=Uzun",'[7]TABLO-1'!D4:D32873,"=İPSALA")/P7</f>
        <v>0</v>
      </c>
      <c r="H48" s="10">
        <f>SUMIFS('[7]TABLO-1'!R4:R32873,'[7]TABLO-1'!H4:H32873,"=Dağıtım-OG",'[7]TABLO-1'!J4:J32873,"=Güvenlik",'[7]TABLO-1'!K4:K32873,"=Bildirimli",'[7]TABLO-1'!I4:I32873,"=Uzun",'[7]TABLO-1'!D4:D32873,"=İPSALA")/P13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SUMIFS('[7]TABLO-1'!S4:S32873,'[7]TABLO-1'!H4:H32873,"=Dağıtım-OG",'[7]TABLO-1'!J4:J32873,"=Güvenlik",'[7]TABLO-1'!K4:K32873,"=Bildirimli",'[7]TABLO-1'!I4:I32873,"=Uzun",'[7]TABLO-1'!D4:D32873,"=İPSALA")/P8</f>
        <v>0</v>
      </c>
      <c r="K48" s="10">
        <f>SUMIFS('[7]TABLO-1'!T4:T32873,'[7]TABLO-1'!H4:H32873,"=Dağıtım-OG",'[7]TABLO-1'!J4:J32873,"=Güvenlik",'[7]TABLO-1'!K4:K32873,"=bildirimli",'[7]TABLO-1'!I4:I32873,"=Uzun",'[7]TABLO-1'!D4:D32873,"=İPSALA")/P14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İşletmecisi",'[7]TABLO-1'!K4:K32873,"=Bildirimli",'[7]TABLO-1'!I4:I32873,"=Uzun",'[7]TABLO-1'!D4:D32873,"=İPSALA")/P6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İşletmecisi",'[7]TABLO-1'!K4:K32873,"=Bildirimli",'[7]TABLO-1'!I4:I32873,"=Uzun",'[7]TABLO-1'!D4:D32873,"=İPSALA")/P12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İşletmecisi",'[7]TABLO-1'!K4:K32873,"=Bildirimli",'[7]TABLO-1'!I4:I32873,"=Uzun",'[7]TABLO-1'!D4:D32873,"=İPSALA")/P7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İşletmecisi",'[7]TABLO-1'!K4:K32873,"=Bildirimli",'[7]TABLO-1'!I4:I32873,"=Uzun",'[7]TABLO-1'!D4:D32873,"=İPSALA")/P13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İşletmecisi",'[7]TABLO-1'!K4:K32873,"=Bildirimli",'[7]TABLO-1'!I4:I32873,"=Uzun",'[7]TABLO-1'!D4:D32873,"=İPSALA")/P8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İşletmecisi",'[7]TABLO-1'!K4:K32873,"=bildirimli",'[7]TABLO-1'!I4:I32873,"=Uzun",'[7]TABLO-1'!D4:D32873,"=İPSALA")/P14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SUMIFS('[7]TABLO-1'!O4:O32873,'[7]TABLO-1'!H4:H32873,"=Dağıtım-AG",'[7]TABLO-1'!J4:J32873,"=Güvenlik",'[7]TABLO-1'!K4:K32873,"=Bildirimli",'[7]TABLO-1'!I4:I32873,"=Uzun",'[7]TABLO-1'!D4:D32873,"=İPSALA")/P6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SUMIFS('[7]TABLO-1'!P4:P32873,'[7]TABLO-1'!H4:H32873,"=Dağıtım-AG",'[7]TABLO-1'!J4:J32873,"=Güvenlik",'[7]TABLO-1'!K4:K32873,"=Bildirimli",'[7]TABLO-1'!I4:I32873,"=Uzun",'[7]TABLO-1'!D4:D32873,"=İPSALA")/P12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SUMIFS('[7]TABLO-1'!Q4:Q32873,'[7]TABLO-1'!H4:H32873,"=Dağıtım-AG",'[7]TABLO-1'!J4:J32873,"=Güvenlik",'[7]TABLO-1'!K4:K32873,"=Bildirimli",'[7]TABLO-1'!I4:I32873,"=Uzun",'[7]TABLO-1'!D4:D32873,"=İPSALA")/P7</f>
        <v>0</v>
      </c>
      <c r="H50" s="10">
        <f>SUMIFS('[7]TABLO-1'!R4:R32873,'[7]TABLO-1'!H4:H32873,"=Dağıtım-AG",'[7]TABLO-1'!J4:J32873,"=Güvenlik",'[7]TABLO-1'!K4:K32873,"=Bildirimli",'[7]TABLO-1'!I4:I32873,"=Uzun",'[7]TABLO-1'!D4:D32873,"=İPSALA")/P13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SUMIFS('[7]TABLO-1'!S4:S32873,'[7]TABLO-1'!H4:H32873,"=Dağıtım-AG",'[7]TABLO-1'!J4:J32873,"=Güvenlik",'[7]TABLO-1'!K4:K32873,"=Bildirimli",'[7]TABLO-1'!I4:I32873,"=Uzun",'[7]TABLO-1'!D4:D32873,"=İPSALA")/P8</f>
        <v>0</v>
      </c>
      <c r="K50" s="10">
        <f>SUMIFS('[7]TABLO-1'!T4:T32873,'[7]TABLO-1'!H4:H32873,"=Dağıtım-AG",'[7]TABLO-1'!J4:J32873,"=Güvenlik",'[7]TABLO-1'!K4:K32873,"=bildirimli",'[7]TABLO-1'!I4:I32873,"=Uzun",'[7]TABLO-1'!D4:D32873,"=İPSALA")/P14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6.3291139240506328E-3</v>
      </c>
      <c r="H51" s="10">
        <f t="shared" si="19"/>
        <v>2.9426433915211971E-2</v>
      </c>
      <c r="I51" s="10">
        <f t="shared" si="19"/>
        <v>2.8137508829762185E-2</v>
      </c>
      <c r="J51" s="10">
        <f t="shared" si="19"/>
        <v>8.6042065009560229E-2</v>
      </c>
      <c r="K51" s="10">
        <f t="shared" si="19"/>
        <v>0</v>
      </c>
      <c r="L51" s="10">
        <f t="shared" si="19"/>
        <v>5.5610479485912008E-3</v>
      </c>
      <c r="M51" s="10">
        <f t="shared" si="19"/>
        <v>1.712287471361389E-2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SUMIFS('[7]TABLO-1'!O1:O32873,'[7]TABLO-1'!H1:H32873,"=İletim",'[7]TABLO-1'!K1:K32873,"=Bildirimsiz",'[7]TABLO-1'!I1:I32873,"=Kısa",'[7]TABLO-1'!D1:D32873,"=İPSALA")/P6</f>
        <v>#DIV/0!</v>
      </c>
      <c r="D56" s="10" t="e">
        <f>SUMIFS('[7]TABLO-1'!P1:P32873,'[7]TABLO-1'!H1:H32873,"=İletim",'[7]TABLO-1'!K1:K32873,"=Bildirimsiz",'[7]TABLO-1'!I1:I32873,"=Kısa",'[7]TABLO-1'!D1:D32873,"=İPSALA")/P12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SUMIFS('[7]TABLO-1'!Q1:Q32873,'[7]TABLO-1'!H1:H32873,"=İletim",'[7]TABLO-1'!K1:K32873,"=Bildirimsiz",'[7]TABLO-1'!I1:I32873,"=Kısa",'[7]TABLO-1'!D1:D32873,"=İPSALA")/P7</f>
        <v>0</v>
      </c>
      <c r="G56" s="10">
        <f>SUMIFS('[7]TABLO-1'!R1:R32873,'[7]TABLO-1'!H1:H32873,"=İletim",'[7]TABLO-1'!K1:K32873,"=Bildirimsiz",'[7]TABLO-1'!I1:I32873,"=Kısa",'[7]TABLO-1'!D1:D32873,"=İPSALA")/P13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SUMIFS('[7]TABLO-1'!S1:S32873,'[7]TABLO-1'!H1:H32873,"=İletim",'[7]TABLO-1'!K1:K32873,"=Bildirimsiz",'[7]TABLO-1'!I1:I32873,"=Kısa",'[7]TABLO-1'!D1:D32873,"=İPSALA")/P8</f>
        <v>0</v>
      </c>
      <c r="J56" s="10">
        <f>SUMIFS('[7]TABLO-1'!T1:T32873,'[7]TABLO-1'!H1:H32873,"=İletim",'[7]TABLO-1'!K1:K32873,"=Bildirimsiz",'[7]TABLO-1'!I1:I32873,"=Kısa",'[7]TABLO-1'!D1:D32873,"=İPSALA")/P14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SUMIFS('[7]TABLO-1'!O4:O32873,'[7]TABLO-1'!H4:H32873,"=Dağıtım-OG",'[7]TABLO-1'!K4:K32873,"=Bildirimsiz",'[7]TABLO-1'!I4:I32873,"=Kısa",'[7]TABLO-1'!D4:D32873,"=İPSALA")/P6</f>
        <v>#DIV/0!</v>
      </c>
      <c r="D57" s="10" t="e">
        <f>SUMIFS('[7]TABLO-1'!P4:P32873,'[7]TABLO-1'!H4:H32873,"=Dağıtım-OG",'[7]TABLO-1'!K4:K32873,"=Bildirimsiz",'[7]TABLO-1'!I4:I32873,"=Kısa",'[7]TABLO-1'!D4:D32873,"=İPSALA")/P12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SUMIFS('[7]TABLO-1'!Q4:Q32873,'[7]TABLO-1'!H4:H32873,"=Dağıtım-OG",'[7]TABLO-1'!K4:K32873,"=Bildirimsiz",'[7]TABLO-1'!I4:I32873,"=Kısa",'[7]TABLO-1'!D4:D32873,"=İPSALA")/P7</f>
        <v>5.4852320675105488E-2</v>
      </c>
      <c r="G57" s="10">
        <f>SUMIFS('[7]TABLO-1'!R4:R32873,'[7]TABLO-1'!H4:H32873,"=Dağıtım-OG",'[7]TABLO-1'!K4:K32873,"=Bildirimsiz",'[7]TABLO-1'!I4:I32873,"=Kısa",'[7]TABLO-1'!D4:D32873,"=İPSALA")/P13</f>
        <v>4.9875311720698251E-4</v>
      </c>
      <c r="H57" s="10">
        <f>IFERROR((((F57*$P$7)+(G57*$P$13))/$P$20),"0,00")</f>
        <v>3.5319048740287263E-3</v>
      </c>
      <c r="I57" s="10">
        <f>SUMIFS('[7]TABLO-1'!S4:S32873,'[7]TABLO-1'!H4:H32873,"=Dağıtım-OG",'[7]TABLO-1'!K4:K32873,"=Bildirimsiz",'[7]TABLO-1'!I4:I32873,"=Kısa",'[7]TABLO-1'!D4:D32873,"=İPSALA")/P8</f>
        <v>0.5124282982791587</v>
      </c>
      <c r="J57" s="10">
        <f>SUMIFS('[7]TABLO-1'!T4:T32873,'[7]TABLO-1'!H4:H32873,"=Dağıtım-OG",'[7]TABLO-1'!K4:K32873,"=Bildirimsiz",'[7]TABLO-1'!I4:I32873,"=Kısa",'[7]TABLO-1'!D4:D32873,"=İPSALA")/P14</f>
        <v>0.27784383670233848</v>
      </c>
      <c r="K57" s="10">
        <f>IFERROR((((I57*$P$8)+(J57*$P$14))/$P$23),"0,00")</f>
        <v>0.29300543746910529</v>
      </c>
      <c r="L57" s="11">
        <f>IFERROR((((E57*$P$17)+(H57*$P$20)+(K57*$P$23))/$P$26),"0,00")</f>
        <v>0.14476064150488363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SUMIFS('[7]TABLO-1'!O4:O32873,'[7]TABLO-1'!H4:H32873,"=Dağıtım-AG",'[7]TABLO-1'!K4:K32873,"=Bildirimsiz",'[7]TABLO-1'!I4:I32873,"=Kısa",'[7]TABLO-1'!D4:D32873,"=İPSALA")/P6</f>
        <v>#DIV/0!</v>
      </c>
      <c r="D58" s="10" t="e">
        <f>SUMIFS('[7]TABLO-1'!P4:P32873,'[7]TABLO-1'!H4:H32873,"=Dağıtım-AG",'[7]TABLO-1'!K4:K32873,"=Bildirimsiz",'[7]TABLO-1'!I4:I32873,"=Kısa",'[7]TABLO-1'!D4:D32873,"=İPSALA")/P12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SUMIFS('[7]TABLO-1'!Q4:Q32873,'[7]TABLO-1'!H4:H32873,"=Dağıtım-AG",'[7]TABLO-1'!K4:K32873,"=Bildirimsiz",'[7]TABLO-1'!I4:I32873,"=Kısa",'[7]TABLO-1'!D4:D32873,"=İPSALA")/P7</f>
        <v>0</v>
      </c>
      <c r="G58" s="10">
        <f>SUMIFS('[7]TABLO-1'!R4:R32873,'[7]TABLO-1'!H4:H32873,"=Dağıtım-AG",'[7]TABLO-1'!K4:K32873,"=Bildirimsiz",'[7]TABLO-1'!I4:I32873,"=Kısa",'[7]TABLO-1'!D4:D32873,"=İPSALA")/P13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SUMIFS('[7]TABLO-1'!S4:S32873,'[7]TABLO-1'!H4:H32873,"=Dağıtım-AG",'[7]TABLO-1'!K4:K32873,"=Bildirimsiz",'[7]TABLO-1'!I4:I32873,"=Kısa",'[7]TABLO-1'!D4:D32873,"=İPSALA")/P8</f>
        <v>0</v>
      </c>
      <c r="J58" s="10">
        <f>SUMIFS('[7]TABLO-1'!T4:T32873,'[7]TABLO-1'!H4:H32873,"=Dağıtım-AG",'[7]TABLO-1'!K4:K32873,"=Bildirimsiz",'[7]TABLO-1'!I4:I32873,"=Kısa",'[7]TABLO-1'!D4:D32873,"=İPSALA")/P14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5.4852320675105488E-2</v>
      </c>
      <c r="G59" s="10">
        <f t="shared" si="20"/>
        <v>4.9875311720698251E-4</v>
      </c>
      <c r="H59" s="10">
        <f t="shared" si="20"/>
        <v>3.5319048740287263E-3</v>
      </c>
      <c r="I59" s="10">
        <f t="shared" si="20"/>
        <v>0.5124282982791587</v>
      </c>
      <c r="J59" s="10">
        <f t="shared" si="20"/>
        <v>0.27784383670233848</v>
      </c>
      <c r="K59" s="10">
        <f t="shared" si="20"/>
        <v>0.29300543746910529</v>
      </c>
      <c r="L59" s="10">
        <f t="shared" si="20"/>
        <v>0.14476064150488363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474</v>
      </c>
      <c r="G65" s="27">
        <f>P13</f>
        <v>8020</v>
      </c>
      <c r="H65" s="17">
        <f>SUM(F65:G65)</f>
        <v>8494</v>
      </c>
      <c r="I65" s="17">
        <f>P8</f>
        <v>523</v>
      </c>
      <c r="J65" s="27">
        <f>P14</f>
        <v>7569</v>
      </c>
      <c r="K65" s="17">
        <f>SUM(I65:J65)</f>
        <v>8092</v>
      </c>
      <c r="L65" s="17">
        <f>H65+E65+K65</f>
        <v>16586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Q71"/>
  <sheetViews>
    <sheetView zoomScale="60" zoomScaleNormal="60" workbookViewId="0">
      <selection activeCell="G9" sqref="G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İşletmecisi",'[7]TABLO-1'!K4:K32873,"=Bildirimsiz",'[7]TABLO-1'!I4:I32873,"=Uzun",'[7]TABLO-1'!C4:C32873,"=EDİRNE")/P6</f>
        <v>0</v>
      </c>
      <c r="E6" s="10">
        <f>SUMIFS('[7]TABLO-1'!V4:V32873,'[7]TABLO-1'!H4:H32873,"=İletim",'[7]TABLO-1'!J4:J32873,"=Şebeke İşletmecisi",'[7]TABLO-1'!K4:K32873,"=Bildirimsiz",'[7]TABLO-1'!I4:I32873,"=Uzun",'[7]TABLO-1'!C4:C32873,"=EDİRNE")/P12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İşletmecisi",'[7]TABLO-1'!K4:K32873,"=Bildirimsiz",'[7]TABLO-1'!I4:I32873,"=Uzun",'[7]TABLO-1'!C4:C32873,"=EDİRNE")/P7</f>
        <v>0</v>
      </c>
      <c r="H6" s="10">
        <f>SUMIFS('[7]TABLO-1'!X4:X32873,'[7]TABLO-1'!H4:H32873,"=İletim",'[7]TABLO-1'!J4:J32873,"=Şebeke İşletmecisi",'[7]TABLO-1'!K4:K32873,"=Bildirimsiz",'[7]TABLO-1'!I4:I32873,"=Uzun",'[7]TABLO-1'!C4:C32873,"=EDİRNE")/P13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İşletmecisi",'[7]TABLO-1'!K4:K32873,"=Bildirimsiz",'[7]TABLO-1'!I4:I32873,"=Uzun",'[7]TABLO-1'!C4:C32873,"=EDİRNE")/P8</f>
        <v>0</v>
      </c>
      <c r="K6" s="10">
        <f>SUMIFS('[7]TABLO-1'!Z4:Z32873,'[7]TABLO-1'!H4:H32873,"=İletim",'[7]TABLO-1'!J4:J32873,"=Şebeke İşletmecisi",'[7]TABLO-1'!K4:K32873,"=Bildirimsiz",'[7]TABLO-1'!I4:I32873,"=Uzun",'[7]TABLO-1'!C4:C32873,"=EDİRNE")/P14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1205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Sebep",'[7]TABLO-1'!K4:K32873,"=Bildirimsiz",'[7]TABLO-1'!I4:I32873,"=Uzun",'[7]TABLO-1'!C4:C32873,"=EDİRNE")/P6</f>
        <v>0</v>
      </c>
      <c r="E7" s="10">
        <f>SUMIFS('[7]TABLO-1'!V4:V32873,'[7]TABLO-1'!H4:H32873,"=İletim",'[7]TABLO-1'!J4:J32873,"=Mücbir Sebep",'[7]TABLO-1'!K4:K32873,"=Bildirimsiz",'[7]TABLO-1'!I4:I32873,"=Uzun",'[7]TABLO-1'!C4:C32873,"=EDİRNE")/P12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Sebep",'[7]TABLO-1'!K4:K32873,"=Bildirimsiz",'[7]TABLO-1'!I4:I32873,"=Uzun",'[7]TABLO-1'!C4:C32873,"=EDİRNE")/P7</f>
        <v>0</v>
      </c>
      <c r="H7" s="10">
        <f>SUMIFS('[7]TABLO-1'!X4:X32873,'[7]TABLO-1'!H4:H32873,"=İletim",'[7]TABLO-1'!J4:J32873,"=Mücbir Sebep",'[7]TABLO-1'!K4:K32873,"=Bildirimsiz",'[7]TABLO-1'!I4:I32873,"=Uzun",'[7]TABLO-1'!C4:C32873,"=EDİRNE")/P13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Sebep",'[7]TABLO-1'!K4:K32873,"=Bildirimsiz",'[7]TABLO-1'!I4:I32873,"=Uzun",'[7]TABLO-1'!C4:C32873,"=EDİRNE")/P8</f>
        <v>0</v>
      </c>
      <c r="K7" s="10">
        <f>SUMIFS('[7]TABLO-1'!Z4:Z32873,'[7]TABLO-1'!H4:H32873,"=İletim",'[7]TABLO-1'!J4:J32873,"=Mücbir Sebep",'[7]TABLO-1'!K4:K32873,"=Bildirimsiz",'[7]TABLO-1'!I4:I32873,"=Uzun",'[7]TABLO-1'!C4:C32873,"=EDİRNE")/P14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782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İşletmecisi",'[7]TABLO-1'!K4:K32873,"=Bildirimsiz",'[7]TABLO-1'!I4:I32873,"=Uzun",'[7]TABLO-1'!C4:C32873,"=EDİRNE")/P6</f>
        <v>17.395864453533843</v>
      </c>
      <c r="E8" s="10">
        <f>SUMIFS('[7]TABLO-1'!V4:V32873,'[7]TABLO-1'!H4:H32873,"=Dağıtım-OG",'[7]TABLO-1'!J4:J32873,"=Şebeke İşletmecisi",'[7]TABLO-1'!K4:K32873,"=Bildirimsiz",'[7]TABLO-1'!I4:I32873,"=Uzun",'[7]TABLO-1'!C4:C32873,"=EDİRNE")/P12</f>
        <v>9.8246742660734725</v>
      </c>
      <c r="F8" s="10">
        <f t="shared" si="0"/>
        <v>9.8744447831616888</v>
      </c>
      <c r="G8" s="10">
        <f>SUMIFS('[7]TABLO-1'!W4:W32873,'[7]TABLO-1'!H4:H32873,"=Dağıtım-OG",'[7]TABLO-1'!J4:J32873,"=Şebeke İşletmecisi",'[7]TABLO-1'!K4:K32873,"=Bildirimsiz",'[7]TABLO-1'!I4:I32873,"=Uzun",'[7]TABLO-1'!C4:C32873,"=EDİRNE")/P7</f>
        <v>23.528751066232058</v>
      </c>
      <c r="H8" s="10">
        <f>SUMIFS('[7]TABLO-1'!X4:X32873,'[7]TABLO-1'!H4:H32873,"=Dağıtım-OG",'[7]TABLO-1'!J4:J32873,"=Şebeke İşletmecisi",'[7]TABLO-1'!K4:K32873,"=Bildirimsiz",'[7]TABLO-1'!I4:I32873,"=Uzun",'[7]TABLO-1'!C4:C32873,"=EDİRNE")/P13</f>
        <v>17.619647803031079</v>
      </c>
      <c r="I8" s="10">
        <f t="shared" si="1"/>
        <v>17.747005484364571</v>
      </c>
      <c r="J8" s="10">
        <f>SUMIFS('[7]TABLO-1'!Y4:Y32873,'[7]TABLO-1'!H4:H32873,"=Dağıtım-OG",'[7]TABLO-1'!J4:J32873,"=Şebeke İşletmecisi",'[7]TABLO-1'!K4:K32873,"=Bildirimsiz",'[7]TABLO-1'!I4:I32873,"=Uzun",'[7]TABLO-1'!C4:C32873,"=EDİRNE")/P8</f>
        <v>46.904630946884048</v>
      </c>
      <c r="K8" s="10">
        <f>SUMIFS('[7]TABLO-1'!Z4:Z32873,'[7]TABLO-1'!H4:H32873,"=Dağıtım-OG",'[7]TABLO-1'!J4:J32873,"=Şebeke İşletmecisi",'[7]TABLO-1'!K4:K32873,"=Bildirimsiz",'[7]TABLO-1'!I4:I32873,"=Uzun",'[7]TABLO-1'!C4:C32873,"=EDİRNE")/P14</f>
        <v>45.210838929204172</v>
      </c>
      <c r="L8" s="10">
        <f t="shared" si="2"/>
        <v>45.254599355577568</v>
      </c>
      <c r="M8" s="11">
        <f t="shared" si="3"/>
        <v>20.410753731816083</v>
      </c>
      <c r="O8" s="20" t="s">
        <v>36</v>
      </c>
      <c r="P8" s="53">
        <v>2109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SUMIFS('[7]TABLO-1'!U4:U32873,'[7]TABLO-1'!H4:H32873,"=Dağıtım-OG",'[7]TABLO-1'!J4:J32873,"=Dışsal",'[7]TABLO-1'!K4:K32873,"=Bildirimsiz",'[7]TABLO-1'!I4:I32873,"=Uzun",'[7]TABLO-1'!C4:C32873,"=EDİRNE")/P6</f>
        <v>0</v>
      </c>
      <c r="E9" s="10">
        <f>SUMIFS('[7]TABLO-1'!V4:V32873,'[7]TABLO-1'!H4:H32873,"=Dağıtım-OG",'[7]TABLO-1'!J4:J32873,"=Dışsal",'[7]TABLO-1'!K4:K32873,"=Bildirimsiz",'[7]TABLO-1'!I4:I32873,"=Uzun",'[7]TABLO-1'!C4:C32873,"=EDİRNE")/P12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SUMIFS('[7]TABLO-1'!W4:W32873,'[7]TABLO-1'!H4:H32873,"=Dağıtım-OG",'[7]TABLO-1'!J4:J32873,"=Dışsal",'[7]TABLO-1'!K4:K32873,"=Bildirimsiz",'[7]TABLO-1'!I4:I32873,"=Uzun",'[7]TABLO-1'!C4:C32873,"=EDİRNE")/P7</f>
        <v>0</v>
      </c>
      <c r="H9" s="10">
        <f>SUMIFS('[7]TABLO-1'!X4:X32873,'[7]TABLO-1'!H4:H32873,"=Dağıtım-OG",'[7]TABLO-1'!J4:J32873,"=Dışsal",'[7]TABLO-1'!K4:K32873,"=Bildirimsiz",'[7]TABLO-1'!I4:I32873,"=Uzun",'[7]TABLO-1'!C4:C32873,"=EDİRNE")/P13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SUMIFS('[7]TABLO-1'!Y4:Y32873,'[7]TABLO-1'!H4:H32873,"=Dağıtım-OG",'[7]TABLO-1'!J4:J32873,"=Dışsal",'[7]TABLO-1'!K4:K32873,"=Bildirimsiz",'[7]TABLO-1'!I4:I32873,"=Uzun",'[7]TABLO-1'!C4:C32873,"=EDİRNE")/P8</f>
        <v>0</v>
      </c>
      <c r="K9" s="10">
        <f>SUMIFS('[7]TABLO-1'!Z4:Z32873,'[7]TABLO-1'!H4:H32873,"=Dağıtım-OG",'[7]TABLO-1'!J4:J32873,"=Dışsal",'[7]TABLO-1'!K4:K32873,"=Bildirimsiz",'[7]TABLO-1'!I4:I32873,"=Uzun",'[7]TABLO-1'!C4:C32873,"=EDİRNE")/P14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4096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Sebep",'[7]TABLO-1'!K4:K32873,"=Bildirimsiz",'[7]TABLO-1'!I4:I32873,"=Uzun",'[7]TABLO-1'!C4:C32873,"=EDİRNE")/P6</f>
        <v>0</v>
      </c>
      <c r="E10" s="10">
        <f>SUMIFS('[7]TABLO-1'!V4:V32873,'[7]TABLO-1'!H4:H32873,"=Dağıtım-OG",'[7]TABLO-1'!J4:J32873,"=Mücbir Sebep",'[7]TABLO-1'!K4:K32873,"=Bildirimsiz",'[7]TABLO-1'!I4:I32873,"=Uzun",'[7]TABLO-1'!C4:C32873,"=EDİRNE")/P12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Sebep",'[7]TABLO-1'!K4:K32873,"=Bildirimsiz",'[7]TABLO-1'!I4:I32873,"=Uzun",'[7]TABLO-1'!C4:C32873,"=EDİRNE")/P7</f>
        <v>0</v>
      </c>
      <c r="H10" s="10">
        <f>SUMIFS('[7]TABLO-1'!X4:X32873,'[7]TABLO-1'!H4:H32873,"=Dağıtım-OG",'[7]TABLO-1'!J4:J32873,"=Mücbir Sebep",'[7]TABLO-1'!K4:K32873,"=Bildirimsiz",'[7]TABLO-1'!I4:I32873,"=Uzun",'[7]TABLO-1'!C4:C32873,"=EDİRNE")/P13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Sebep",'[7]TABLO-1'!K4:K32873,"=Bildirimsiz",'[7]TABLO-1'!I4:I32873,"=Uzun",'[7]TABLO-1'!C4:C32873,"=EDİRNE")/P8</f>
        <v>0</v>
      </c>
      <c r="K10" s="10">
        <f>SUMIFS('[7]TABLO-1'!Z4:Z32873,'[7]TABLO-1'!H4:H32873,"=Dağıtım-OG",'[7]TABLO-1'!J4:J32873,"=Mücbir Sebep",'[7]TABLO-1'!K4:K32873,"=Bildirimsiz",'[7]TABLO-1'!I4:I32873,"=Uzun",'[7]TABLO-1'!C4:C32873,"=EDİRNE")/P14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SUMIFS('[7]TABLO-1'!U4:U32873,'[7]TABLO-1'!H4:H32873,"=Dağıtım-OG",'[7]TABLO-1'!J4:J32873,"=Güvenlik",'[7]TABLO-1'!K4:K32873,"=Bildirimsiz",'[7]TABLO-1'!I4:I32873,"=Uzun",'[7]TABLO-1'!C4:C32873,"=EDİRNE")/P6</f>
        <v>0</v>
      </c>
      <c r="E11" s="10">
        <f>SUMIFS('[7]TABLO-1'!V4:V32873,'[7]TABLO-1'!H4:H32873,"=Dağıtım-OG",'[7]TABLO-1'!J4:J32873,"=Güvenlik",'[7]TABLO-1'!K4:K32873,"=Bildirimsiz",'[7]TABLO-1'!I4:I32873,"=Uzun",'[7]TABLO-1'!C4:C32873,"=EDİRNE")/P12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SUMIFS('[7]TABLO-1'!W4:W32873,'[7]TABLO-1'!H4:H32873,"=Dağıtım-OG",'[7]TABLO-1'!J4:J32873,"=Güvenlik",'[7]TABLO-1'!K4:K32873,"=Bildirimsiz",'[7]TABLO-1'!I4:I32873,"=Uzun",'[7]TABLO-1'!C4:C32873,"=EDİRNE")/P7</f>
        <v>0</v>
      </c>
      <c r="H11" s="10">
        <f>SUMIFS('[7]TABLO-1'!X4:X32873,'[7]TABLO-1'!H4:H32873,"=Dağıtım-OG",'[7]TABLO-1'!J4:J32873,"=Güvenlik",'[7]TABLO-1'!K4:K32873,"=Bildirimsiz",'[7]TABLO-1'!I4:I32873,"=Uzun",'[7]TABLO-1'!C4:C32873,"=EDİRNE")/P13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SUMIFS('[7]TABLO-1'!Y4:Y32873,'[7]TABLO-1'!H4:H32873,"=Dağıtım-OG",'[7]TABLO-1'!J4:J32873,"=Güvenlik",'[7]TABLO-1'!K4:K32873,"=Bildirimsiz",'[7]TABLO-1'!I4:I32873,"=Uzun",'[7]TABLO-1'!C4:C32873,"=EDİRNE")/P8</f>
        <v>0</v>
      </c>
      <c r="K11" s="10">
        <f>SUMIFS('[7]TABLO-1'!Z4:Z32873,'[7]TABLO-1'!H4:H32873,"=Dağıtım-OG",'[7]TABLO-1'!J4:J32873,"=Güvenlik",'[7]TABLO-1'!K4:K32873,"=Bildirimsiz",'[7]TABLO-1'!I4:I32873,"=Uzun",'[7]TABLO-1'!C4:C32873,"=EDİRNE")/P14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İşletmecisi",'[7]TABLO-1'!K4:K32873,"=Bildirimsiz",'[7]TABLO-1'!I4:I32873,"=Uzun",'[7]TABLO-1'!C4:C32873,"=EDİRNE")/P6</f>
        <v>0</v>
      </c>
      <c r="E12" s="10">
        <f>SUMIFS('[7]TABLO-1'!V4:V32873,'[7]TABLO-1'!H4:H32873,"=Dağıtım-AG",'[7]TABLO-1'!J4:J32873,"=Şebeke işletmecisi",'[7]TABLO-1'!K4:K32873,"=Bildirimsiz",'[7]TABLO-1'!I4:I32873,"=Uzun",'[7]TABLO-1'!C4:C32873,"=EDİRNE")/P12</f>
        <v>1.6968697030473849</v>
      </c>
      <c r="F12" s="10">
        <f t="shared" si="0"/>
        <v>1.6857150390565276</v>
      </c>
      <c r="G12" s="12">
        <f>SUMIFS('[7]TABLO-1'!W4:W32873,'[7]TABLO-1'!H4:H32873,"=Dağıtım-AG",'[7]TABLO-1'!J4:J32873,"=Şebeke İşletmecisi",'[7]TABLO-1'!K4:K32873,"=Bildirimsiz",'[7]TABLO-1'!I4:I32873,"=Uzun",'[7]TABLO-1'!C4:C32873,"=EDİRNE")/P7</f>
        <v>0</v>
      </c>
      <c r="H12" s="10">
        <f>SUMIFS('[7]TABLO-1'!X4:X32873,'[7]TABLO-1'!H4:H32873,"=Dağıtım-AG",'[7]TABLO-1'!J4:J32873,"=Şebeke İşletmecisi",'[7]TABLO-1'!K4:K32873,"=Bildirimsiz",'[7]TABLO-1'!I4:I32873,"=Uzun",'[7]TABLO-1'!C4:C32873,"=EDİRNE")/P13</f>
        <v>3.440883355392335</v>
      </c>
      <c r="I12" s="10">
        <f t="shared" si="1"/>
        <v>3.366722707598139</v>
      </c>
      <c r="J12" s="12">
        <f>SUMIFS('[7]TABLO-1'!Y4:Y32873,'[7]TABLO-1'!H4:H32873,"=Dağıtım-AG",'[7]TABLO-1'!J4:J32873,"=Şebeke İşletmecisi",'[7]TABLO-1'!K4:K32873,"=Bildirimsiz",'[7]TABLO-1'!I4:I32873,"=Uzun",'[7]TABLO-1'!C4:C32873,"=EDİRNE")/P8</f>
        <v>0</v>
      </c>
      <c r="K12" s="10">
        <f>SUMIFS('[7]TABLO-1'!Z4:Z32873,'[7]TABLO-1'!H4:H32873,"=Dağıtım-AG",'[7]TABLO-1'!J4:J32873,"=Şebeke İşletmecisi",'[7]TABLO-1'!K4:K32873,"=Bildirimsiz",'[7]TABLO-1'!I4:I32873,"=Uzun",'[7]TABLO-1'!C4:C32873,"=EDİRNE")/P14</f>
        <v>7.7535669374753722</v>
      </c>
      <c r="L12" s="10">
        <f t="shared" si="2"/>
        <v>7.5532475407861792</v>
      </c>
      <c r="M12" s="11">
        <f t="shared" si="3"/>
        <v>3.478301036999528</v>
      </c>
      <c r="O12" s="6" t="s">
        <v>33</v>
      </c>
      <c r="P12" s="42">
        <v>182102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SUMIFS('[7]TABLO-1'!U4:U32873,'[7]TABLO-1'!H4:H32873,"=Dağıtım-AG",'[7]TABLO-1'!J4:J32873,"=Dışsal",'[7]TABLO-1'!K4:K32873,"=Bildirimsiz",'[7]TABLO-1'!I4:I32873,"=Uzun",'[7]TABLO-1'!C4:C32873,"=EDİRNE")/P6</f>
        <v>0</v>
      </c>
      <c r="E13" s="10">
        <f>SUMIFS('[7]TABLO-1'!V4:V32873,'[7]TABLO-1'!H4:H32873,"=Dağıtım-AG",'[7]TABLO-1'!J4:J32873,"=Dışsal",'[7]TABLO-1'!K4:K32873,"=Bildirimsiz",'[7]TABLO-1'!I4:I32873,"=Uzun",'[7]TABLO-1'!C4:C32873,"=EDİRNE")/P12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SUMIFS('[7]TABLO-1'!W4:W32873,'[7]TABLO-1'!H4:H32873,"=Dağıtım-AG",'[7]TABLO-1'!J4:J32873,"=Dışsal",'[7]TABLO-1'!K4:K32873,"=Bildirimsiz",'[7]TABLO-1'!I4:I32873,"=Uzun",'[7]TABLO-1'!C4:C32873,"=EDİRNE")/P7</f>
        <v>0</v>
      </c>
      <c r="H13" s="10">
        <f>SUMIFS('[7]TABLO-1'!X4:X32873,'[7]TABLO-1'!H4:H32873,"=Dağıtım-AG",'[7]TABLO-1'!J4:J32873,"=Dışsal",'[7]TABLO-1'!K4:K32873,"=Bildirimsiz",'[7]TABLO-1'!I4:I32873,"=Uzun",'[7]TABLO-1'!C4:C32873,"=EDİRNE")/P13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SUMIFS('[7]TABLO-1'!Y4:Y32873,'[7]TABLO-1'!H4:H32873,"=Dağıtım-AG",'[7]TABLO-1'!J4:J32873,"=Dışsal",'[7]TABLO-1'!K4:K32873,"=Bildirimsiz",'[7]TABLO-1'!I4:I32873,"=Uzun",'[7]TABLO-1'!C4:C32873,"=EDİRNE")/P8</f>
        <v>0</v>
      </c>
      <c r="K13" s="10">
        <f>SUMIFS('[7]TABLO-1'!Z4:Z32873,'[7]TABLO-1'!H4:H32873,"=Dağıtım-AG",'[7]TABLO-1'!J4:J32873,"=Dışsal",'[7]TABLO-1'!K4:K32873,"=Bildirimsiz",'[7]TABLO-1'!I4:I32873,"=Uzun",'[7]TABLO-1'!C4:C32873,"=EDİRNE")/P14</f>
        <v>0.79032448043158776</v>
      </c>
      <c r="L13" s="10">
        <f t="shared" si="2"/>
        <v>0.76990583642097632</v>
      </c>
      <c r="M13" s="11">
        <f t="shared" si="3"/>
        <v>0.20864476026864234</v>
      </c>
      <c r="O13" s="6" t="s">
        <v>35</v>
      </c>
      <c r="P13" s="42">
        <v>35501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Sebep",'[7]TABLO-1'!K4:K32873,"=Bildirimsiz",'[7]TABLO-1'!I4:I32873,"=Uzun",'[7]TABLO-1'!C4:C32873,"=EDİRNE")/P6</f>
        <v>0</v>
      </c>
      <c r="E14" s="10">
        <f>SUMIFS('[7]TABLO-1'!V4:V32873,'[7]TABLO-1'!H4:H32873,"=Dağıtım-AG",'[7]TABLO-1'!J4:J32873,"=Mücbir Sebep",'[7]TABLO-1'!K4:K32873,"=Bildirimsiz",'[7]TABLO-1'!I4:I32873,"=Uzun",'[7]TABLO-1'!C4:C32873,"=EDİRNE")/P12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Sebep",'[7]TABLO-1'!K4:K32873,"=Bildirimsiz",'[7]TABLO-1'!I4:I32873,"=Uzun",'[7]TABLO-1'!C4:C32873,"=EDİRNE")/P7</f>
        <v>0</v>
      </c>
      <c r="H14" s="10">
        <f>SUMIFS('[7]TABLO-1'!X4:X32873,'[7]TABLO-1'!H4:H32873,"=Dağıtım-AG",'[7]TABLO-1'!J4:J32873,"=Mücbir Sebep",'[7]TABLO-1'!K4:K32873,"=Bildirimsiz",'[7]TABLO-1'!I4:I32873,"=Uzun",'[7]TABLO-1'!C4:C32873,"=EDİRNE")/P13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Sebep",'[7]TABLO-1'!K4:K32873,"=Bildirimsiz",'[7]TABLO-1'!I4:I32873,"=Uzun",'[7]TABLO-1'!C4:C32873,"=EDİRNE")/P8</f>
        <v>0</v>
      </c>
      <c r="K14" s="10">
        <f>SUMIFS('[7]TABLO-1'!Z4:Z32873,'[7]TABLO-1'!H4:H32873,"=Dağıtım-AG",'[7]TABLO-1'!J4:J32873,"=Mücbir Sebep",'[7]TABLO-1'!K4:K32873,"=Bildirimsiz",'[7]TABLO-1'!I4:I32873,"=Uzun",'[7]TABLO-1'!C4:C32873,"=EDİRNE")/P14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79522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SUMIFS('[7]TABLO-1'!U4:U32873,'[7]TABLO-1'!H4:H32873,"=Dağıtım-AG",'[7]TABLO-1'!J4:J32873,"=Güvenlik",'[7]TABLO-1'!K4:K32873,"=Bildirimsiz",'[7]TABLO-1'!I4:I32873,"=Uzun",'[7]TABLO-1'!C4:C32873,"=EDİRNE")/P6</f>
        <v>0</v>
      </c>
      <c r="E15" s="10">
        <f>SUMIFS('[7]TABLO-1'!V4:V32873,'[7]TABLO-1'!H4:H32873,"=Dağıtım-AG",'[7]TABLO-1'!J4:J32873,"=Güvenlik",'[7]TABLO-1'!K4:K32873,"=Bildirimsiz",'[7]TABLO-1'!I4:I32873,"=Uzun",'[7]TABLO-1'!C4:C32873,"=EDİRNE")/P12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SUMIFS('[7]TABLO-1'!W4:W32873,'[7]TABLO-1'!H4:H32873,"=Dağıtım-AG",'[7]TABLO-1'!J4:J32873,"=Güvenlik",'[7]TABLO-1'!K4:K32873,"=Bildirimsiz",'[7]TABLO-1'!I4:I32873,"=Uzun",'[7]TABLO-1'!C4:C32873,"=EDİRNE")/P7</f>
        <v>0</v>
      </c>
      <c r="H15" s="10">
        <f>SUMIFS('[7]TABLO-1'!X4:X32873,'[7]TABLO-1'!H4:H32873,"=Dağıtım-AG",'[7]TABLO-1'!J4:J32873,"=Güvenlik",'[7]TABLO-1'!K4:K32873,"=Bildirimsiz",'[7]TABLO-1'!I4:I32873,"=Uzun",'[7]TABLO-1'!C4:C32873,"=EDİRNE")/P13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SUMIFS('[7]TABLO-1'!Y4:Y32873,'[7]TABLO-1'!H4:H32873,"=Dağıtım-AG",'[7]TABLO-1'!J4:J32873,"=Güvenlik",'[7]TABLO-1'!K4:K32873,"=Bildirimsiz",'[7]TABLO-1'!I4:I32873,"=Uzun",'[7]TABLO-1'!C4:C32873,"=EDİRNE")/P8</f>
        <v>0</v>
      </c>
      <c r="K15" s="10">
        <f>SUMIFS('[7]TABLO-1'!Z4:Z32873,'[7]TABLO-1'!H4:H32873,"=Dağıtım-AG",'[7]TABLO-1'!J4:J32873,"=Güvenlik",'[7]TABLO-1'!K4:K32873,"=Bildirimsiz",'[7]TABLO-1'!I4:I32873,"=Uzun",'[7]TABLO-1'!C4:C32873,"=EDİRNE")/P14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297125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17.395864453533843</v>
      </c>
      <c r="E16" s="10">
        <f t="shared" si="4"/>
        <v>11.521543969120858</v>
      </c>
      <c r="F16" s="10">
        <f t="shared" si="4"/>
        <v>11.560159822218216</v>
      </c>
      <c r="G16" s="10">
        <f t="shared" si="4"/>
        <v>23.528751066232058</v>
      </c>
      <c r="H16" s="10">
        <f t="shared" si="4"/>
        <v>21.060531158423412</v>
      </c>
      <c r="I16" s="10">
        <f t="shared" si="4"/>
        <v>21.113728191962711</v>
      </c>
      <c r="J16" s="10">
        <f>SUM(J6:J15)</f>
        <v>46.904630946884048</v>
      </c>
      <c r="K16" s="10">
        <f>SUM(K6:K15)</f>
        <v>53.754730347111128</v>
      </c>
      <c r="L16" s="10">
        <f>SUM(L6:L15)</f>
        <v>53.577752732784724</v>
      </c>
      <c r="M16" s="11">
        <f t="shared" si="4"/>
        <v>24.097699529084256</v>
      </c>
    </row>
    <row r="17" spans="2:16" ht="15" customHeight="1" x14ac:dyDescent="0.25">
      <c r="B17" s="29"/>
      <c r="O17" s="50" t="s">
        <v>37</v>
      </c>
      <c r="P17" s="47">
        <f>P6+P12</f>
        <v>183307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36283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İşletmecisi",'[7]TABLO-1'!K4:K32873,"=Bildirimli",'[7]TABLO-1'!I4:I32873,"=Uzun",'[7]TABLO-1'!C4:C32873,"=EDİRNE")/P6</f>
        <v>0</v>
      </c>
      <c r="E21" s="10">
        <f>SUMIFS('[7]TABLO-1'!V4:V32873,'[7]TABLO-1'!H4:H32873,"=İletim",'[7]TABLO-1'!J4:J32873,"=Şebeke İşletmecisi",'[7]TABLO-1'!K4:K32873,"=Bildirimli",'[7]TABLO-1'!I4:I32873,"=Uzun",'[7]TABLO-1'!C4:C32873,"=EDİRNE")/P12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İşletmecisi",'[7]TABLO-1'!K4:K32873,"=Bildirimli",'[7]TABLO-1'!I4:I32873,"=Uzun",'[7]TABLO-1'!C4:C32873,"=EDİRNE")/P7</f>
        <v>0</v>
      </c>
      <c r="H21" s="10">
        <f>SUMIFS('[7]TABLO-1'!X4:X32873,'[7]TABLO-1'!H4:H32873,"=İletim",'[7]TABLO-1'!J4:J32873,"=Şebeke İşletmecisi",'[7]TABLO-1'!K4:K32873,"=Bildirimli",'[7]TABLO-1'!I4:I32873,"=Uzun",'[7]TABLO-1'!C4:C32873,"=EDİRNE")/P13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İşletmecisi",'[7]TABLO-1'!K4:K32873,"=Bildirimli",'[7]TABLO-1'!I4:I32873,"=Uzun",'[7]TABLO-1'!C4:C32873,"=EDİRNE")/P8</f>
        <v>0</v>
      </c>
      <c r="K21" s="10">
        <f>SUMIFS('[7]TABLO-1'!Z4:Z32873,'[7]TABLO-1'!H4:H32873,"=İletim",'[7]TABLO-1'!J4:J32873,"=Şebeke İşletmecisi",'[7]TABLO-1'!K4:K32873,"=Bildirimli",'[7]TABLO-1'!I4:I32873,"=Uzun",'[7]TABLO-1'!C4:C32873,"=EDİRNE")/P14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İşletmecisi",'[7]TABLO-1'!K4:K32873,"=Bildirimli",'[7]TABLO-1'!I4:I32873,"=Uzun",'[7]TABLO-1'!C4:C32873,"=EDİRNE")/P6</f>
        <v>8.0073997232448537</v>
      </c>
      <c r="E22" s="10">
        <f>SUMIFS('[7]TABLO-1'!V4:V32873,'[7]TABLO-1'!H4:H32873,"=Dağıtım-OG",'[7]TABLO-1'!J4:J32873,"=Şebeke İşletmecisi",'[7]TABLO-1'!K4:K32873,"=Bildirimli",'[7]TABLO-1'!I4:I32873,"=Uzun",'[7]TABLO-1'!C4:C32873,"=EDİRNE")/P12</f>
        <v>10.400636365029539</v>
      </c>
      <c r="F22" s="10">
        <f t="shared" ref="F22:F25" si="5">IFERROR((((D22*$P$6)+(E22*$P$12))/$P$17),"0,00")</f>
        <v>10.384904013546231</v>
      </c>
      <c r="G22" s="10">
        <f>SUMIFS('[7]TABLO-1'!W4:W32873,'[7]TABLO-1'!H4:H32873,"=Dağıtım-OG",'[7]TABLO-1'!J4:J32873,"=Şebeke İşletmecisi",'[7]TABLO-1'!K4:K32873,"=Bildirimli",'[7]TABLO-1'!I4:I32873,"=Uzun",'[7]TABLO-1'!C4:C32873,"=EDİRNE")/P7</f>
        <v>13.535848252181692</v>
      </c>
      <c r="H22" s="10">
        <f>SUMIFS('[7]TABLO-1'!X4:X32873,'[7]TABLO-1'!H4:H32873,"=Dağıtım-OG",'[7]TABLO-1'!J4:J32873,"=Şebeke İşletmecisi",'[7]TABLO-1'!K4:K32873,"=Bildirimli",'[7]TABLO-1'!I4:I32873,"=Uzun",'[7]TABLO-1'!C4:C32873,"=EDİRNE")/P13</f>
        <v>53.101777883718235</v>
      </c>
      <c r="I22" s="10">
        <f t="shared" ref="I22:I25" si="6">IFERROR((((G22*$P$7)+(H22*$P$13))/$P$20),"0,00")</f>
        <v>52.2490215798883</v>
      </c>
      <c r="J22" s="10">
        <f>SUMIFS('[7]TABLO-1'!Y4:Y32873,'[7]TABLO-1'!H4:H32873,"=Dağıtım-OG",'[7]TABLO-1'!J4:J32873,"=Şebeke İşletmecisi",'[7]TABLO-1'!K4:K32873,"=Bildirimli",'[7]TABLO-1'!I4:I32873,"=Uzun",'[7]TABLO-1'!C4:C32873,"=EDİRNE")/P8</f>
        <v>27.57608661236166</v>
      </c>
      <c r="K22" s="10">
        <f>SUMIFS('[7]TABLO-1'!Z4:Z32873,'[7]TABLO-1'!H4:H32873,"=Dağıtım-OG",'[7]TABLO-1'!J4:J32873,"=Şebeke İşletmecisi",'[7]TABLO-1'!K4:K32873,"=Bildirimli",'[7]TABLO-1'!I4:I32873,"=Uzun",'[7]TABLO-1'!C4:C32873,"=EDİRNE")/P14</f>
        <v>30.750351474568109</v>
      </c>
      <c r="L22" s="10">
        <f t="shared" ref="L22:L25" si="7">IFERROR((((J22*$P$8)+(K22*$P$14))/$P$23),"0,00")</f>
        <v>30.668341887592657</v>
      </c>
      <c r="M22" s="11">
        <f t="shared" ref="M22:M25" si="8">IFERROR((((F22*$P$17)+(I22*$P$20)+(L22*$P$23))/$P$26),"0,00")</f>
        <v>20.924385307200634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SUMIFS('[7]TABLO-1'!U4:U32873,'[7]TABLO-1'!H4:H32873,"=Dağıtım-OG",'[7]TABLO-1'!J4:J32873,"=Güvenlik",'[7]TABLO-1'!K4:K32873,"=Bildirimli",'[7]TABLO-1'!I4:I32873,"=Uzun",'[7]TABLO-1'!C4:C32873,"=EDİRNE")/P6</f>
        <v>0</v>
      </c>
      <c r="E23" s="10">
        <f>SUMIFS('[7]TABLO-1'!V4:V32873,'[7]TABLO-1'!H4:H32873,"=Dağıtım-OG",'[7]TABLO-1'!J4:J32873,"=Güvenlik",'[7]TABLO-1'!K4:K32873,"=Bildirimli",'[7]TABLO-1'!I4:I32873,"=Uzun",'[7]TABLO-1'!C4:C32873,"=EDİRNE")/P12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SUMIFS('[7]TABLO-1'!W4:W32873,'[7]TABLO-1'!H4:H32873,"=Dağıtım-OG",'[7]TABLO-1'!J4:J32873,"=Güvenlik",'[7]TABLO-1'!K4:K32873,"=Bildirimli",'[7]TABLO-1'!I4:I32873,"=Uzun",'[7]TABLO-1'!C4:C32873,"=EDİRNE")/P7</f>
        <v>0</v>
      </c>
      <c r="H23" s="10">
        <f>SUMIFS('[7]TABLO-1'!X4:X32873,'[7]TABLO-1'!H4:H32873,"=Dağıtım-OG",'[7]TABLO-1'!J4:J32873,"=Güvenlik",'[7]TABLO-1'!K4:K32873,"=Bildirimli",'[7]TABLO-1'!I4:I32873,"=Uzun",'[7]TABLO-1'!C4:C32873,"=EDİRNE")/P13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SUMIFS('[7]TABLO-1'!Y4:Y32873,'[7]TABLO-1'!H4:H32873,"=Dağıtım-OG",'[7]TABLO-1'!J4:J32873,"=Güvenlik",'[7]TABLO-1'!K4:K32873,"=Bildirimli",'[7]TABLO-1'!I4:I32873,"=Uzun",'[7]TABLO-1'!C4:C32873,"=EDİRNE")/P8</f>
        <v>0</v>
      </c>
      <c r="K23" s="10">
        <f>SUMIFS('[7]TABLO-1'!Z4:Z32873,'[7]TABLO-1'!H4:H32873,"=Dağıtım-OG",'[7]TABLO-1'!J4:J32873,"=Güvenlik",'[7]TABLO-1'!K4:K32873,"=Bildirimli",'[7]TABLO-1'!I4:I32873,"=Uzun",'[7]TABLO-1'!C4:C32873,"=EDİRNE")/P14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81631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İşletmecisi",'[7]TABLO-1'!K4:K32873,"=Bildirimli",'[7]TABLO-1'!I4:I32873,"=Uzun",'[7]TABLO-1'!C4:C32873,"=EDİRNE")/P6</f>
        <v>0</v>
      </c>
      <c r="E24" s="10">
        <f>SUMIFS('[7]TABLO-1'!V4:V32873,'[7]TABLO-1'!H4:H32873,"=Dağıtım-AG",'[7]TABLO-1'!J4:J32873,"=Şebeke İşletmecisi",'[7]TABLO-1'!K4:K32873,"=Bildirimli",'[7]TABLO-1'!I4:I32873,"=Uzun",'[7]TABLO-1'!C4:C32873,"=EDİRNE")/P12</f>
        <v>1.6847766636233392</v>
      </c>
      <c r="F24" s="10">
        <f t="shared" si="5"/>
        <v>1.6737014953009832</v>
      </c>
      <c r="G24" s="12">
        <f>SUMIFS('[7]TABLO-1'!W4:W32873,'[7]TABLO-1'!H4:H32873,"=Dağıtım-AG",'[7]TABLO-1'!J4:J32873,"=Şebeke İşletmecisi",'[7]TABLO-1'!K4:K32873,"=Bildirimli",'[7]TABLO-1'!I4:I32873,"=Uzun",'[7]TABLO-1'!C4:C32873,"=EDİRNE")/P7</f>
        <v>0</v>
      </c>
      <c r="H24" s="10">
        <f>SUMIFS('[7]TABLO-1'!X4:X32873,'[7]TABLO-1'!H4:H32873,"=Dağıtım-AG",'[7]TABLO-1'!J4:J32873,"=Şebeke İşletmecisi",'[7]TABLO-1'!K4:K32873,"=Bildirimli",'[7]TABLO-1'!I4:I32873,"=Uzun",'[7]TABLO-1'!C4:C32873,"=EDİRNE")/P13</f>
        <v>22.070938846919045</v>
      </c>
      <c r="I24" s="10">
        <f t="shared" si="6"/>
        <v>21.595248463591023</v>
      </c>
      <c r="J24" s="12">
        <f>SUMIFS('[7]TABLO-1'!Y4:Y32873,'[7]TABLO-1'!H4:H32873,"=Dağıtım-AG",'[7]TABLO-1'!J4:J32873,"=Şebeke İşletmecisi",'[7]TABLO-1'!K4:K32873,"=Bildirimli",'[7]TABLO-1'!I4:I32873,"=Uzun",'[7]TABLO-1'!C4:C32873,"=EDİRNE")/P8</f>
        <v>0</v>
      </c>
      <c r="K24" s="10">
        <f>SUMIFS('[7]TABLO-1'!Z4:Z32873,'[7]TABLO-1'!H4:H32873,"=Dağıtım-AG",'[7]TABLO-1'!J4:J32873,"=Şebeke İşletmecisi",'[7]TABLO-1'!K4:K32873,"=Bildirimli",'[7]TABLO-1'!I4:I32873,"=Uzun",'[7]TABLO-1'!C4:C32873,"=EDİRNE")/P14</f>
        <v>3.8398694700806217</v>
      </c>
      <c r="L24" s="10">
        <f t="shared" si="7"/>
        <v>3.740663473432289</v>
      </c>
      <c r="M24" s="11">
        <f t="shared" si="8"/>
        <v>4.6334608144962059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SUMIFS('[7]TABLO-1'!U4:U32873,'[7]TABLO-1'!H4:H32873,"=Dağıtım-AG",'[7]TABLO-1'!J4:J32873,"=Güvenlik",'[7]TABLO-1'!K4:K32873,"=Bildirimli",'[7]TABLO-1'!I4:I32873,"=Uzun",'[7]TABLO-1'!C4:C32873,"=EDİRNE")/P6</f>
        <v>0</v>
      </c>
      <c r="E25" s="10">
        <f>SUMIFS('[7]TABLO-1'!V4:V32873,'[7]TABLO-1'!H4:H32873,"=Dağıtım-AG",'[7]TABLO-1'!J4:J32873,"=Güvenlik",'[7]TABLO-1'!K4:K32873,"=Bildirimli",'[7]TABLO-1'!I4:I32873,"=Uzun",'[7]TABLO-1'!C4:C32873,"=EDİRNE")/P12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SUMIFS('[7]TABLO-1'!W4:W32873,'[7]TABLO-1'!H4:H32873,"=Dağıtım-AG",'[7]TABLO-1'!J4:J32873,"=Güvenlik",'[7]TABLO-1'!K4:K32873,"=Bildirimli",'[7]TABLO-1'!I4:I32873,"=Uzun",'[7]TABLO-1'!C4:C32873,"=EDİRNE")/P7</f>
        <v>0</v>
      </c>
      <c r="H25" s="10">
        <f>SUMIFS('[7]TABLO-1'!X4:X32873,'[7]TABLO-1'!H4:H32873,"=Dağıtım-AG",'[7]TABLO-1'!J4:J32873,"=Güvenlik",'[7]TABLO-1'!K4:K32873,"=Bildirimli",'[7]TABLO-1'!I4:I32873,"=Uzun",'[7]TABLO-1'!C4:C32873,"=EDİRNE")/P13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SUMIFS('[7]TABLO-1'!Y4:Y32873,'[7]TABLO-1'!H4:H32873,"=Dağıtım-AG",'[7]TABLO-1'!J4:J32873,"=Güvenlik",'[7]TABLO-1'!K4:K32873,"=Bildirimli",'[7]TABLO-1'!I4:I32873,"=Uzun",'[7]TABLO-1'!C4:C32873,"=EDİRNE")/P8</f>
        <v>0</v>
      </c>
      <c r="K25" s="10">
        <f>SUMIFS('[7]TABLO-1'!Z4:Z32873,'[7]TABLO-1'!H4:H32873,"=Dağıtım-AG",'[7]TABLO-1'!J4:J32873,"=Güvenlik",'[7]TABLO-1'!K4:K32873,"=Bildirimli",'[7]TABLO-1'!I4:I32873,"=Uzun",'[7]TABLO-1'!C4:C32873,"=EDİRNE")/P14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8.0073997232448537</v>
      </c>
      <c r="E26" s="10">
        <f t="shared" ref="E26:M26" si="9">SUM(E21:E25)</f>
        <v>12.085413028652878</v>
      </c>
      <c r="F26" s="10">
        <f t="shared" si="9"/>
        <v>12.058605508847215</v>
      </c>
      <c r="G26" s="10">
        <f t="shared" si="9"/>
        <v>13.535848252181692</v>
      </c>
      <c r="H26" s="10">
        <f t="shared" si="9"/>
        <v>75.172716730637276</v>
      </c>
      <c r="I26" s="10">
        <f t="shared" si="9"/>
        <v>73.844270043479327</v>
      </c>
      <c r="J26" s="10">
        <f t="shared" si="9"/>
        <v>27.57608661236166</v>
      </c>
      <c r="K26" s="10">
        <f t="shared" si="9"/>
        <v>34.590220944648735</v>
      </c>
      <c r="L26" s="10">
        <f t="shared" si="9"/>
        <v>34.409005361024946</v>
      </c>
      <c r="M26" s="11">
        <f t="shared" si="9"/>
        <v>25.557846121696841</v>
      </c>
      <c r="O26" s="43" t="s">
        <v>22</v>
      </c>
      <c r="P26" s="44">
        <f>P20+P17+P23</f>
        <v>301221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İşletmecisi",'[7]TABLO-1'!K4:K32873,"=Bildirimsiz",'[7]TABLO-1'!I4:I32873,"=Uzun",'[7]TABLO-1'!C4:C32873,"=EDİRNE")/P6</f>
        <v>0</v>
      </c>
      <c r="E31" s="10">
        <f>SUMIFS('[7]TABLO-1'!P4:P32873,'[7]TABLO-1'!H4:H32873,"=İletim",'[7]TABLO-1'!J4:J32873,"=Şebeke İşletmecisi",'[7]TABLO-1'!K4:K32873,"=Bildirimsiz",'[7]TABLO-1'!I4:I32873,"=Uzun",'[7]TABLO-1'!C4:C32873,"=EDİRNE")/P12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İşletmecisi",'[7]TABLO-1'!K4:K32873,"=Bildirimsiz",'[7]TABLO-1'!I4:I32873,"=Uzun",'[7]TABLO-1'!C4:C32873,"=EDİRNE")/P7</f>
        <v>0</v>
      </c>
      <c r="H31" s="10">
        <f>SUMIFS('[7]TABLO-1'!R4:R32873,'[7]TABLO-1'!H4:H32873,"=İletim",'[7]TABLO-1'!J4:J32873,"=Şebeke İşletmecisi",'[7]TABLO-1'!K4:K32873,"=Bildirimsiz",'[7]TABLO-1'!I4:I32873,"=Uzun",'[7]TABLO-1'!C4:C32873,"=EDİRNE")/P13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İşletmecisi",'[7]TABLO-1'!K4:K32873,"=Bildirimsiz",'[7]TABLO-1'!I4:I32873,"=Uzun",'[7]TABLO-1'!C4:C32873,"=EDİRNE")/P8</f>
        <v>0</v>
      </c>
      <c r="K31" s="10">
        <f>SUMIFS('[7]TABLO-1'!T4:T32873,'[7]TABLO-1'!H4:H32873,"=İletim",'[7]TABLO-1'!J4:J32873,"=Şebeke İşletmecisi",'[7]TABLO-1'!K4:K32873,"=bildirimsiz",'[7]TABLO-1'!I4:I32873,"=Uzun",'[7]TABLO-1'!C4:C32873,"=EDİRNE")/P14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Sebep",'[7]TABLO-1'!K4:K32873,"=Bildirimsiz",'[7]TABLO-1'!I4:I32873,"=Uzun",'[7]TABLO-1'!C4:C32873,"=EDİRNE")/P6</f>
        <v>0</v>
      </c>
      <c r="E32" s="10">
        <f>SUMIFS('[7]TABLO-1'!P4:P32873,'[7]TABLO-1'!H4:H32873,"=İletim",'[7]TABLO-1'!J4:J32873,"=Mücbir Sebep",'[7]TABLO-1'!K4:K32873,"=Bildirimsiz",'[7]TABLO-1'!I4:I32873,"=Uzun",'[7]TABLO-1'!C4:C32873,"=EDİRNE")/P12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Sebep",'[7]TABLO-1'!K4:K32873,"=Bildirimsiz",'[7]TABLO-1'!I4:I32873,"=Uzun",'[7]TABLO-1'!C4:C32873,"=EDİRNE")/P7</f>
        <v>0</v>
      </c>
      <c r="H32" s="10">
        <f>SUMIFS('[7]TABLO-1'!R4:R32873,'[7]TABLO-1'!H4:H32873,"=İletim",'[7]TABLO-1'!J4:J32873,"=Mücbir Sebep",'[7]TABLO-1'!K4:K32873,"=Bildirimsiz",'[7]TABLO-1'!I4:I32873,"=Uzun",'[7]TABLO-1'!C4:C32873,"=EDİRNE")/P13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Sebep",'[7]TABLO-1'!K4:K32873,"=Bildirimsiz",'[7]TABLO-1'!I4:I32873,"=Uzun",'[7]TABLO-1'!C4:C32873,"=EDİRNE")/P8</f>
        <v>0</v>
      </c>
      <c r="K32" s="10">
        <f>SUMIFS('[7]TABLO-1'!T4:T32873,'[7]TABLO-1'!H4:H32873,"=İletim",'[7]TABLO-1'!J4:J32873,"=Mücbir Sebep",'[7]TABLO-1'!K4:K32873,"=bildirimsiz",'[7]TABLO-1'!I4:I32873,"=Uzun",'[7]TABLO-1'!C4:C32873,"=EDİRNE")/P14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İşletmecisi",'[7]TABLO-1'!K4:K32873,"=Bildirimsiz",'[7]TABLO-1'!I4:I32873,"=Uzun",'[7]TABLO-1'!C4:C32873,"=EDİRNE")/P6</f>
        <v>0.45311203319502075</v>
      </c>
      <c r="E33" s="10">
        <f>SUMIFS('[7]TABLO-1'!P4:P32873,'[7]TABLO-1'!H4:H32873,"=Dağıtım-OG",'[7]TABLO-1'!J4:J32873,"=Şebeke İşletmecisi",'[7]TABLO-1'!K4:K32873,"=Bildirimsiz",'[7]TABLO-1'!I4:I32873,"=Uzun",'[7]TABLO-1'!C4:C32873,"=EDİRNE")/P12</f>
        <v>0.37022108488649219</v>
      </c>
      <c r="F33" s="10">
        <f t="shared" si="10"/>
        <v>0.37076598275024958</v>
      </c>
      <c r="G33" s="10">
        <f>SUMIFS('[7]TABLO-1'!Q4:Q32873,'[7]TABLO-1'!H4:H32873,"=Dağıtım-OG",'[7]TABLO-1'!J4:J32873,"=Şebeke İşletmecisi",'[7]TABLO-1'!K4:K32873,"=Bildirimsiz",'[7]TABLO-1'!I4:I32873,"=Uzun",'[7]TABLO-1'!C4:C32873,"=EDİRNE")/P7</f>
        <v>0.40281329923273657</v>
      </c>
      <c r="H33" s="10">
        <f>SUMIFS('[7]TABLO-1'!R4:R32873,'[7]TABLO-1'!H4:H32873,"=Dağıtım-OG",'[7]TABLO-1'!J4:J32873,"=Şebeke İşletmecisi",'[7]TABLO-1'!K4:K32873,"=Bildirimsiz",'[7]TABLO-1'!I4:I32873,"=Uzun",'[7]TABLO-1'!C4:C32873,"=EDİRNE")/P13</f>
        <v>0.41528407650488719</v>
      </c>
      <c r="I33" s="10">
        <f t="shared" si="11"/>
        <v>0.41501529641981094</v>
      </c>
      <c r="J33" s="10">
        <f>SUMIFS('[7]TABLO-1'!S4:S32873,'[7]TABLO-1'!H4:H32873,"=Dağıtım-OG",'[7]TABLO-1'!J4:J32873,"=Şebeke İşletmecisi",'[7]TABLO-1'!K4:K32873,"=Bildirimsiz",'[7]TABLO-1'!I4:I32873,"=Uzun",'[7]TABLO-1'!C4:C32873,"=EDİRNE")/P8</f>
        <v>1.0957799905168326</v>
      </c>
      <c r="K33" s="10">
        <f>SUMIFS('[7]TABLO-1'!T4:T32873,'[7]TABLO-1'!H4:H32873,"=Dağıtım-OG",'[7]TABLO-1'!J4:J32873,"=Şebeke İşletmecisi",'[7]TABLO-1'!K4:K32873,"=bildirimsiz",'[7]TABLO-1'!I4:I32873,"=Uzun",'[7]TABLO-1'!C4:C32873,"=EDİRNE")/P14</f>
        <v>1.0508035512185308</v>
      </c>
      <c r="L33" s="10">
        <f t="shared" si="12"/>
        <v>1.051965552302434</v>
      </c>
      <c r="M33" s="11">
        <f t="shared" si="13"/>
        <v>0.56070127912728529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SUMIFS('[7]TABLO-1'!O4:O32873,'[7]TABLO-1'!H4:H32873,"=Dağıtım-OG",'[7]TABLO-1'!J4:J32873,"=Dışsal",'[7]TABLO-1'!K4:K32873,"=Bildirimsiz",'[7]TABLO-1'!I4:I32873,"=Uzun",'[7]TABLO-1'!C4:C32873,"=EDİRNE")/P6</f>
        <v>0</v>
      </c>
      <c r="E34" s="10">
        <f>SUMIFS('[7]TABLO-1'!P4:P32873,'[7]TABLO-1'!H4:H32873,"=Dağıtım-OG",'[7]TABLO-1'!J4:J32873,"=Dışsal",'[7]TABLO-1'!K4:K32873,"=Bildirimsiz",'[7]TABLO-1'!I4:I32873,"=Uzun",'[7]TABLO-1'!C4:C32873,"=EDİRNE")/P12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SUMIFS('[7]TABLO-1'!Q4:Q32873,'[7]TABLO-1'!H4:H32873,"=Dağıtım-OG",'[7]TABLO-1'!J4:J32873,"=Dışsal",'[7]TABLO-1'!K4:K32873,"=Bildirimsiz",'[7]TABLO-1'!I4:I32873,"=Uzun",'[7]TABLO-1'!C4:C32873,"=EDİRNE")/P7</f>
        <v>0</v>
      </c>
      <c r="H34" s="10">
        <f>SUMIFS('[7]TABLO-1'!R4:R32873,'[7]TABLO-1'!H4:H32873,"=Dağıtım-OG",'[7]TABLO-1'!J4:J32873,"=Dışsal",'[7]TABLO-1'!K4:K32873,"=Bildirimsiz",'[7]TABLO-1'!I4:I32873,"=Uzun",'[7]TABLO-1'!C4:C32873,"=EDİRNE")/P13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SUMIFS('[7]TABLO-1'!S4:S32873,'[7]TABLO-1'!H4:H32873,"=Dağıtım-OG",'[7]TABLO-1'!J4:J32873,"=Dışsal",'[7]TABLO-1'!K4:K32873,"=Bildirimsiz",'[7]TABLO-1'!I4:I32873,"=Uzun",'[7]TABLO-1'!C4:C32873,"=EDİRNE")/P8</f>
        <v>0</v>
      </c>
      <c r="K34" s="10">
        <f>SUMIFS('[7]TABLO-1'!T4:T32873,'[7]TABLO-1'!H4:H32873,"=Dağıtım-OG",'[7]TABLO-1'!J4:J32873,"=Dışsal",'[7]TABLO-1'!K4:K32873,"=bildirimsiz",'[7]TABLO-1'!I4:I32873,"=Uzun",'[7]TABLO-1'!C4:C32873,"=EDİRNE")/P14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Sebep",'[7]TABLO-1'!K4:K32873,"=Bildirimsiz",'[7]TABLO-1'!I4:I32873,"=Uzun",'[7]TABLO-1'!C4:C32873,"=EDİRNE")/P6</f>
        <v>0</v>
      </c>
      <c r="E35" s="10">
        <f>SUMIFS('[7]TABLO-1'!P4:P32873,'[7]TABLO-1'!H4:H32873,"=Dağıtım-OG",'[7]TABLO-1'!J4:J32873,"=Mücbir Sebep",'[7]TABLO-1'!K4:K32873,"=Bildirimsiz",'[7]TABLO-1'!I4:I32873,"=Uzun",'[7]TABLO-1'!C4:C32873,"=EDİRNE")/P12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Sebep",'[7]TABLO-1'!K4:K32873,"=Bildirimsiz",'[7]TABLO-1'!I4:I32873,"=Uzun",'[7]TABLO-1'!C4:C32873,"=EDİRNE")/P7</f>
        <v>0</v>
      </c>
      <c r="H35" s="10">
        <f>SUMIFS('[7]TABLO-1'!R4:R32873,'[7]TABLO-1'!H4:H32873,"=Dağıtım-OG",'[7]TABLO-1'!J4:J32873,"=Mücbir Sebep",'[7]TABLO-1'!K4:K32873,"=Bildirimsiz",'[7]TABLO-1'!I4:I32873,"=Uzun",'[7]TABLO-1'!C4:C32873,"=EDİRNE")/P13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Sebep",'[7]TABLO-1'!K4:K32873,"=Bildirimsiz",'[7]TABLO-1'!I4:I32873,"=Uzun",'[7]TABLO-1'!C4:C32873,"=EDİRNE")/P8</f>
        <v>0</v>
      </c>
      <c r="K35" s="10">
        <f>SUMIFS('[7]TABLO-1'!T4:T32873,'[7]TABLO-1'!H4:H32873,"=Dağıtım-OG",'[7]TABLO-1'!J4:J32873,"=Mücbir Sebep",'[7]TABLO-1'!K4:K32873,"=bildirimsiz",'[7]TABLO-1'!I4:I32873,"=Uzun",'[7]TABLO-1'!C4:C32873,"=EDİRNE")/P14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SUMIFS('[7]TABLO-1'!O4:O32873,'[7]TABLO-1'!H4:H32873,"=Dağıtım-OG",'[7]TABLO-1'!J4:J32873,"=Güvenlik",'[7]TABLO-1'!K4:K32873,"=Bildirimsiz",'[7]TABLO-1'!I4:I32873,"=Uzun",'[7]TABLO-1'!C4:C32873,"=EDİRNE")/P6</f>
        <v>0</v>
      </c>
      <c r="E36" s="10">
        <f>SUMIFS('[7]TABLO-1'!P4:P32873,'[7]TABLO-1'!H4:H32873,"=Dağıtım-OG",'[7]TABLO-1'!J4:J32873,"=Güvenlik",'[7]TABLO-1'!K4:K32873,"=Bildirimsiz",'[7]TABLO-1'!I4:I32873,"=Uzun",'[7]TABLO-1'!C4:C32873,"=EDİRNE")/P12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SUMIFS('[7]TABLO-1'!Q4:Q32873,'[7]TABLO-1'!H4:H32873,"=Dağıtım-OG",'[7]TABLO-1'!J4:J32873,"=Güvenlik",'[7]TABLO-1'!K4:K32873,"=Bildirimsiz",'[7]TABLO-1'!I4:I32873,"=Uzun",'[7]TABLO-1'!C4:C32873,"=EDİRNE")/P7</f>
        <v>0</v>
      </c>
      <c r="H36" s="10">
        <f>SUMIFS('[7]TABLO-1'!R4:R32873,'[7]TABLO-1'!H4:H32873,"=Dağıtım-OG",'[7]TABLO-1'!J4:J32873,"=Güvenlik",'[7]TABLO-1'!K4:K32873,"=Bildirimsiz",'[7]TABLO-1'!I4:I32873,"=Uzun",'[7]TABLO-1'!C4:C32873,"=EDİRNE")/P13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SUMIFS('[7]TABLO-1'!S4:S32873,'[7]TABLO-1'!H4:H32873,"=Dağıtım-OG",'[7]TABLO-1'!J4:J32873,"=Güvenlik",'[7]TABLO-1'!K4:K32873,"=Bildirimsiz",'[7]TABLO-1'!I4:I32873,"=Uzun",'[7]TABLO-1'!C4:C32873,"=EDİRNE")/P8</f>
        <v>0</v>
      </c>
      <c r="K36" s="10">
        <f>SUMIFS('[7]TABLO-1'!T4:T32873,'[7]TABLO-1'!H4:H32873,"=Dağıtım-OG",'[7]TABLO-1'!J4:J32873,"=Güvenlik",'[7]TABLO-1'!K4:K32873,"=bildirimsiz",'[7]TABLO-1'!I4:I32873,"=Uzun",'[7]TABLO-1'!C4:C32873,"=EDİRNE")/P14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İşletmecisi",'[7]TABLO-1'!K4:K32873,"=Bildirimsiz",'[7]TABLO-1'!I4:I32873,"=Uzun",'[7]TABLO-1'!C4:C32873,"=EDİRNE")/P6</f>
        <v>0</v>
      </c>
      <c r="E37" s="10">
        <f>SUMIFS('[7]TABLO-1'!P4:P32873,'[7]TABLO-1'!H4:H32873,"=Dağıtım-AG",'[7]TABLO-1'!J4:J32873,"=Şebeke İşletmecisi",'[7]TABLO-1'!K4:K32873,"=Bildirimsiz",'[7]TABLO-1'!I4:I32873,"=Uzun",'[7]TABLO-1'!C4:C32873,"=EDİRNE")/P12</f>
        <v>5.9208575413779094E-2</v>
      </c>
      <c r="F37" s="10">
        <f t="shared" si="10"/>
        <v>5.8819357689559044E-2</v>
      </c>
      <c r="G37" s="12">
        <f>SUMIFS('[7]TABLO-1'!Q4:Q32873,'[7]TABLO-1'!H4:H32873,"=Dağıtım-AG",'[7]TABLO-1'!J4:J32873,"=Şebeke İşletmecisi",'[7]TABLO-1'!K4:K32873,"=Bildirimsiz",'[7]TABLO-1'!I4:I32873,"=Uzun",'[7]TABLO-1'!C4:C32873,"=EDİRNE")/P7</f>
        <v>0</v>
      </c>
      <c r="H37" s="10">
        <f>SUMIFS('[7]TABLO-1'!R4:R32873,'[7]TABLO-1'!H4:H32873,"=Dağıtım-AG",'[7]TABLO-1'!J4:J32873,"=Şebeke İşletmecisi",'[7]TABLO-1'!K4:K32873,"=Bildirimsiz",'[7]TABLO-1'!I4:I32873,"=Uzun",'[7]TABLO-1'!C4:C32873,"=EDİRNE")/P13</f>
        <v>6.7941748119771272E-2</v>
      </c>
      <c r="I37" s="10">
        <f t="shared" si="11"/>
        <v>6.6477413664801699E-2</v>
      </c>
      <c r="J37" s="12">
        <f>SUMIFS('[7]TABLO-1'!S4:S32873,'[7]TABLO-1'!H4:H32873,"=Dağıtım-AG",'[7]TABLO-1'!J4:J32873,"=Şebeke İşletmecisi",'[7]TABLO-1'!K4:K32873,"=Bildirimsiz",'[7]TABLO-1'!I4:I32873,"=Uzun",'[7]TABLO-1'!C4:C32873,"=EDİRNE")/P8</f>
        <v>0</v>
      </c>
      <c r="K37" s="10">
        <f>SUMIFS('[7]TABLO-1'!T4:T32873,'[7]TABLO-1'!H4:H32873,"=Dağıtım-AG",'[7]TABLO-1'!J4:J32873,"=Şebeke İşletmecisi",'[7]TABLO-1'!K4:K32873,"=bildirimsiz",'[7]TABLO-1'!I4:I32873,"=Uzun",'[7]TABLO-1'!C4:C32873,"=EDİRNE")/P14</f>
        <v>0.11712482080430572</v>
      </c>
      <c r="L37" s="10">
        <f t="shared" si="12"/>
        <v>0.11409881050091264</v>
      </c>
      <c r="M37" s="11">
        <f t="shared" si="13"/>
        <v>7.4722545904833987E-2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SUMIFS('[7]TABLO-1'!O4:O32873,'[7]TABLO-1'!H4:H32873,"=Dağıtım-AG",'[7]TABLO-1'!J4:J32873,"=Dışsal",'[7]TABLO-1'!K4:K32873,"=Bildirimsiz",'[7]TABLO-1'!I4:I32873,"=Uzun",'[7]TABLO-1'!C4:C32873,"=EDİRNE")/P6</f>
        <v>0</v>
      </c>
      <c r="E38" s="10">
        <f>SUMIFS('[7]TABLO-1'!P4:P32873,'[7]TABLO-1'!H4:H32873,"=Dağıtım-AG",'[7]TABLO-1'!J4:J32873,"=Dışsal",'[7]TABLO-1'!K4:K32873,"=Bildirimsiz",'[7]TABLO-1'!I4:I32873,"=Uzun",'[7]TABLO-1'!C4:C32873,"=EDİRNE")/P12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SUMIFS('[7]TABLO-1'!Q4:Q32873,'[7]TABLO-1'!H4:H32873,"=Dağıtım-AG",'[7]TABLO-1'!J4:J32873,"=Dışsal",'[7]TABLO-1'!K4:K32873,"=Bildirimsiz",'[7]TABLO-1'!I4:I32873,"=Uzun",'[7]TABLO-1'!C4:C32873,"=EDİRNE")/P7</f>
        <v>0</v>
      </c>
      <c r="H38" s="10">
        <f>SUMIFS('[7]TABLO-1'!R4:R32873,'[7]TABLO-1'!H4:H32873,"=Dağıtım-AG",'[7]TABLO-1'!J4:J32873,"=Dışsal",'[7]TABLO-1'!K4:K32873,"=Bildirimsiz",'[7]TABLO-1'!I4:I32873,"=Uzun",'[7]TABLO-1'!C4:C32873,"=EDİRNE")/P13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SUMIFS('[7]TABLO-1'!S4:S32873,'[7]TABLO-1'!H4:H32873,"=Dağıtım-AG",'[7]TABLO-1'!J4:J32873,"=Dışsal",'[7]TABLO-1'!K4:K32873,"=Bildirimsiz",'[7]TABLO-1'!I4:I32873,"=Uzun",'[7]TABLO-1'!C4:C32873,"=EDİRNE")/P8</f>
        <v>0</v>
      </c>
      <c r="K38" s="10">
        <f>SUMIFS('[7]TABLO-1'!T4:T32873,'[7]TABLO-1'!H4:H32873,"=Dağıtım-AG",'[7]TABLO-1'!J4:J32873,"=Dışsal",'[7]TABLO-1'!K4:K32873,"=bildirimsiz",'[7]TABLO-1'!I4:I32873,"=Uzun",'[7]TABLO-1'!C4:C32873,"=EDİRNE")/P14</f>
        <v>1.4587158270667237E-3</v>
      </c>
      <c r="L38" s="10">
        <f t="shared" si="12"/>
        <v>1.4210287758327105E-3</v>
      </c>
      <c r="M38" s="11">
        <f t="shared" si="13"/>
        <v>3.8509931246493437E-4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Sebep",'[7]TABLO-1'!K4:K32873,"=Bildirimsiz",'[7]TABLO-1'!I4:I32873,"=Uzun",'[7]TABLO-1'!C4:C32873,"=EDİRNE")/P6</f>
        <v>0</v>
      </c>
      <c r="E39" s="10">
        <f>SUMIFS('[7]TABLO-1'!P4:P32873,'[7]TABLO-1'!H4:H32873,"=Dağıtım-AG",'[7]TABLO-1'!J4:J32873,"=Mücbir Sebep",'[7]TABLO-1'!K4:K32873,"=Bildirimsiz",'[7]TABLO-1'!I4:I32873,"=Uzun",'[7]TABLO-1'!C4:C32873,"=EDİRNE")/P12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Sebep",'[7]TABLO-1'!K4:K32873,"=Bildirimsiz",'[7]TABLO-1'!I4:I32873,"=Uzun",'[7]TABLO-1'!C4:C32873,"=EDİRNE")/P7</f>
        <v>0</v>
      </c>
      <c r="H39" s="10">
        <f>SUMIFS('[7]TABLO-1'!R4:R32873,'[7]TABLO-1'!H4:H32873,"=Dağıtım-AG",'[7]TABLO-1'!J4:J32873,"=Mücbir Sebep",'[7]TABLO-1'!K4:K32873,"=Bildirimsiz",'[7]TABLO-1'!I4:I32873,"=Uzun",'[7]TABLO-1'!C4:C32873,"=EDİRNE")/P13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Sebep",'[7]TABLO-1'!K4:K32873,"=Bildirimsiz",'[7]TABLO-1'!I4:I32873,"=Uzun",'[7]TABLO-1'!C4:C32873,"=EDİRNE")/P8</f>
        <v>0</v>
      </c>
      <c r="K39" s="10">
        <f>SUMIFS('[7]TABLO-1'!T4:T32873,'[7]TABLO-1'!H4:H32873,"=Dağıtım-AG",'[7]TABLO-1'!J4:J32873,"=Mücbir Sebep",'[7]TABLO-1'!K4:K32873,"=bildirimsiz",'[7]TABLO-1'!I4:I32873,"=Uzun",'[7]TABLO-1'!C4:C32873,"=EDİRNE")/P14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SUMIFS('[7]TABLO-1'!O4:O32873,'[7]TABLO-1'!H4:H32873,"=Dağıtım-AG",'[7]TABLO-1'!J4:J32873,"=Güvenlik",'[7]TABLO-1'!K4:K32873,"=Bildirimsiz",'[7]TABLO-1'!I4:I32873,"=Uzun",'[7]TABLO-1'!C4:C32873,"=EDİRNE")/P6</f>
        <v>0</v>
      </c>
      <c r="E40" s="10">
        <f>SUMIFS('[7]TABLO-1'!P4:P32873,'[7]TABLO-1'!H4:H32873,"=Dağıtım-AG",'[7]TABLO-1'!J4:J32873,"=Güvenlik",'[7]TABLO-1'!K4:K32873,"=Bildirimsiz",'[7]TABLO-1'!I4:I32873,"=Uzun",'[7]TABLO-1'!C4:C32873,"=EDİRNE")/P12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SUMIFS('[7]TABLO-1'!Q4:Q32873,'[7]TABLO-1'!H4:H32873,"=Dağıtım-AG",'[7]TABLO-1'!J4:J32873,"=Güvenlik",'[7]TABLO-1'!K4:K32873,"=Bildirimsiz",'[7]TABLO-1'!I4:I32873,"=Uzun",'[7]TABLO-1'!C4:C32873,"=EDİRNE")/P7</f>
        <v>0</v>
      </c>
      <c r="H40" s="10">
        <f>SUMIFS('[7]TABLO-1'!R4:R32873,'[7]TABLO-1'!H4:H32873,"=Dağıtım-AG",'[7]TABLO-1'!J4:J32873,"=Güvenlik",'[7]TABLO-1'!K4:K32873,"=Bildirimsiz",'[7]TABLO-1'!I4:I32873,"=Uzun",'[7]TABLO-1'!C4:C32873,"=EDİRNE")/P13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SUMIFS('[7]TABLO-1'!S4:S32873,'[7]TABLO-1'!H4:H32873,"=Dağıtım-AG",'[7]TABLO-1'!J4:J32873,"=Güvenlik",'[7]TABLO-1'!K4:K32873,"=Bildirimsiz",'[7]TABLO-1'!I4:I32873,"=Uzun",'[7]TABLO-1'!C4:C32873,"=EDİRNE")/P8</f>
        <v>0</v>
      </c>
      <c r="K40" s="10">
        <f>SUMIFS('[7]TABLO-1'!T4:T32873,'[7]TABLO-1'!H4:H32873,"=Dağıtım-AG",'[7]TABLO-1'!J4:J32873,"=Güvenlik",'[7]TABLO-1'!K4:K32873,"=bildirimsiz",'[7]TABLO-1'!I4:I32873,"=Uzun",'[7]TABLO-1'!C4:C32873,"=EDİRNE")/P14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0.45311203319502075</v>
      </c>
      <c r="E41" s="10">
        <f t="shared" ref="E41:M41" si="14">SUM(E31:E40)</f>
        <v>0.4294296603002713</v>
      </c>
      <c r="F41" s="10">
        <f t="shared" si="14"/>
        <v>0.42958534043980862</v>
      </c>
      <c r="G41" s="10">
        <f t="shared" si="14"/>
        <v>0.40281329923273657</v>
      </c>
      <c r="H41" s="10">
        <f t="shared" si="14"/>
        <v>0.48322582462465846</v>
      </c>
      <c r="I41" s="10">
        <f t="shared" si="14"/>
        <v>0.48149271008461264</v>
      </c>
      <c r="J41" s="10">
        <f t="shared" si="14"/>
        <v>1.0957799905168326</v>
      </c>
      <c r="K41" s="10">
        <f t="shared" si="14"/>
        <v>1.1693870878499031</v>
      </c>
      <c r="L41" s="10">
        <f t="shared" si="14"/>
        <v>1.1674853915791794</v>
      </c>
      <c r="M41" s="10">
        <f t="shared" si="14"/>
        <v>0.63580892434458414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İşletmecisi",'[7]TABLO-1'!K4:K32873,"=Bildirimli",'[7]TABLO-1'!I4:I32873,"=Uzun",'[7]TABLO-1'!C4:C32873,"=EDİRNE")/P6</f>
        <v>0</v>
      </c>
      <c r="E46" s="10">
        <f>SUMIFS('[7]TABLO-1'!P4:P32873,'[7]TABLO-1'!H4:H32873,"=İletim",'[7]TABLO-1'!J4:J32873,"=Şebeke İşletmecisi",'[7]TABLO-1'!K4:K32873,"=Bildirimli",'[7]TABLO-1'!I4:I32873,"=Uzun",'[7]TABLO-1'!C4:C32873,"=EDİRNE")/P12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İşletmecisi",'[7]TABLO-1'!K4:K32873,"=Bildirimli",'[7]TABLO-1'!I4:I32873,"=Uzun",'[7]TABLO-1'!C4:C32873,"=EDİRNE")/P7</f>
        <v>0</v>
      </c>
      <c r="H46" s="10">
        <f>SUMIFS('[7]TABLO-1'!R4:R32873,'[7]TABLO-1'!H4:H32873,"=İletim",'[7]TABLO-1'!J4:J32873,"=Şebeke İşletmecisi",'[7]TABLO-1'!K4:K32873,"=Bildirimli",'[7]TABLO-1'!I4:I32873,"=Uzun",'[7]TABLO-1'!C4:C32873,"=EDİRNE")/P13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İşletmecisi",'[7]TABLO-1'!K4:K32873,"=Bildirimli",'[7]TABLO-1'!I4:I32873,"=Uzun",'[7]TABLO-1'!C4:C32873,"=EDİRNE")/P8</f>
        <v>0</v>
      </c>
      <c r="K46" s="10">
        <f>SUMIFS('[7]TABLO-1'!T4:T32873,'[7]TABLO-1'!H4:H32873,"=İletim",'[7]TABLO-1'!J4:J32873,"=Şebeke İşletmecisi",'[7]TABLO-1'!K4:K32873,"=bildirimli",'[7]TABLO-1'!I4:I32873,"=Uzun",'[7]TABLO-1'!C4:C32873,"=EDİRNE")/P14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İşletmecisi",'[7]TABLO-1'!K4:K32873,"=Bildirimli",'[7]TABLO-1'!I4:I32873,"=Uzun",'[7]TABLO-1'!C4:C32873,"=EDİRNE")/P6</f>
        <v>5.3112033195020746E-2</v>
      </c>
      <c r="E47" s="10">
        <f>SUMIFS('[7]TABLO-1'!P4:P32873,'[7]TABLO-1'!H4:H32873,"=Dağıtım-OG",'[7]TABLO-1'!J4:J32873,"=Şebeke İşletmecisi",'[7]TABLO-1'!K4:K32873,"=Bildirimli",'[7]TABLO-1'!I4:I32873,"=Uzun",'[7]TABLO-1'!C4:C32873,"=EDİRNE")/P12</f>
        <v>3.6479555413998749E-2</v>
      </c>
      <c r="F47" s="10">
        <f t="shared" ref="F47:F50" si="15">IFERROR((((D47*$P$6)+(E47*$P$12))/$P$17),"0,00")</f>
        <v>3.6588891859012478E-2</v>
      </c>
      <c r="G47" s="10">
        <f>SUMIFS('[7]TABLO-1'!Q4:Q32873,'[7]TABLO-1'!H4:H32873,"=Dağıtım-OG",'[7]TABLO-1'!J4:J32873,"=Şebeke İşletmecisi",'[7]TABLO-1'!K4:K32873,"=Bildirimli",'[7]TABLO-1'!I4:I32873,"=Uzun",'[7]TABLO-1'!C4:C32873,"=EDİRNE")/P7</f>
        <v>9.9744245524296671E-2</v>
      </c>
      <c r="H47" s="10">
        <f>SUMIFS('[7]TABLO-1'!R4:R32873,'[7]TABLO-1'!H4:H32873,"=Dağıtım-OG",'[7]TABLO-1'!J4:J32873,"=Şebeke İşletmecisi",'[7]TABLO-1'!K4:K32873,"=Bildirimli",'[7]TABLO-1'!I4:I32873,"=Uzun",'[7]TABLO-1'!C4:C32873,"=EDİRNE")/P13</f>
        <v>0.25647164868595251</v>
      </c>
      <c r="I47" s="10">
        <f t="shared" ref="I47:I50" si="16">IFERROR((((G47*$P$7)+(H47*$P$13))/$P$20),"0,00")</f>
        <v>0.25309373535815671</v>
      </c>
      <c r="J47" s="10">
        <f>SUMIFS('[7]TABLO-1'!S4:S32873,'[7]TABLO-1'!H4:H32873,"=Dağıtım-OG",'[7]TABLO-1'!J4:J32873,"=Şebeke İşletmecisi",'[7]TABLO-1'!K4:K32873,"=Bildirimli",'[7]TABLO-1'!I4:I32873,"=Uzun",'[7]TABLO-1'!C4:C32873,"=EDİRNE")/P8</f>
        <v>0.20531057373162637</v>
      </c>
      <c r="K47" s="10">
        <f>SUMIFS('[7]TABLO-1'!T4:T32873,'[7]TABLO-1'!H4:H32873,"=Dağıtım-OG",'[7]TABLO-1'!J4:J32873,"=Şebeke İşletmecisi",'[7]TABLO-1'!K4:K32873,"=bildirimli",'[7]TABLO-1'!I4:I32873,"=Uzun",'[7]TABLO-1'!C4:C32873,"=EDİRNE")/P14</f>
        <v>0.18320716279771634</v>
      </c>
      <c r="L47" s="10">
        <f t="shared" ref="L47:L50" si="17">IFERROR((((J47*$P$8)+(K47*$P$14))/$P$23),"0,00")</f>
        <v>0.18377822150898557</v>
      </c>
      <c r="M47" s="11">
        <f t="shared" ref="M47:M50" si="18">IFERROR((((F47*$P$17)+(I47*$P$20)+(L47*$P$23))/$P$26),"0,00")</f>
        <v>0.10255593069540304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SUMIFS('[7]TABLO-1'!O4:O32873,'[7]TABLO-1'!H4:H32873,"=Dağıtım-OG",'[7]TABLO-1'!J4:J32873,"=Güvenlik",'[7]TABLO-1'!K4:K32873,"=Bildirimli",'[7]TABLO-1'!I4:I32873,"=Uzun",'[7]TABLO-1'!C4:C32873,"=EDİRNE")/P6</f>
        <v>0</v>
      </c>
      <c r="E48" s="10">
        <f>SUMIFS('[7]TABLO-1'!P4:P32873,'[7]TABLO-1'!H4:H32873,"=Dağıtım-OG",'[7]TABLO-1'!J4:J32873,"=Güvenlik",'[7]TABLO-1'!K4:K32873,"=Bildirimli",'[7]TABLO-1'!I4:I32873,"=Uzun",'[7]TABLO-1'!C4:C32873,"=EDİRNE")/P12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SUMIFS('[7]TABLO-1'!Q4:Q32873,'[7]TABLO-1'!H4:H32873,"=Dağıtım-OG",'[7]TABLO-1'!J4:J32873,"=Güvenlik",'[7]TABLO-1'!K4:K32873,"=Bildirimli",'[7]TABLO-1'!I4:I32873,"=Uzun",'[7]TABLO-1'!C4:C32873,"=EDİRNE")/P7</f>
        <v>0</v>
      </c>
      <c r="H48" s="10">
        <f>SUMIFS('[7]TABLO-1'!R4:R32873,'[7]TABLO-1'!H4:H32873,"=Dağıtım-OG",'[7]TABLO-1'!J4:J32873,"=Güvenlik",'[7]TABLO-1'!K4:K32873,"=Bildirimli",'[7]TABLO-1'!I4:I32873,"=Uzun",'[7]TABLO-1'!C4:C32873,"=EDİRNE")/P13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SUMIFS('[7]TABLO-1'!S4:S32873,'[7]TABLO-1'!H4:H32873,"=Dağıtım-OG",'[7]TABLO-1'!J4:J32873,"=Güvenlik",'[7]TABLO-1'!K4:K32873,"=Bildirimli",'[7]TABLO-1'!I4:I32873,"=Uzun",'[7]TABLO-1'!C4:C32873,"=EDİRNE")/P8</f>
        <v>0</v>
      </c>
      <c r="K48" s="10">
        <f>SUMIFS('[7]TABLO-1'!T4:T32873,'[7]TABLO-1'!H4:H32873,"=Dağıtım-OG",'[7]TABLO-1'!J4:J32873,"=Güvenlik",'[7]TABLO-1'!K4:K32873,"=bildirimli",'[7]TABLO-1'!I4:I32873,"=Uzun",'[7]TABLO-1'!C4:C32873,"=EDİRNE")/P14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İşletmecisi",'[7]TABLO-1'!K4:K32873,"=Bildirimli",'[7]TABLO-1'!I4:I32873,"=Uzun",'[7]TABLO-1'!C4:C32873,"=EDİRNE")/P6</f>
        <v>0</v>
      </c>
      <c r="E49" s="10">
        <f>SUMIFS('[7]TABLO-1'!P4:P32873,'[7]TABLO-1'!H4:H32873,"=Dağıtım-AG",'[7]TABLO-1'!J4:J32873,"=Şebeke İşletmecisi",'[7]TABLO-1'!K4:K32873,"=Bildirimli",'[7]TABLO-1'!I4:I32873,"=Uzun",'[7]TABLO-1'!C4:C32873,"=EDİRNE")/P12</f>
        <v>6.7928962888930376E-3</v>
      </c>
      <c r="F49" s="10">
        <f t="shared" si="15"/>
        <v>6.748242020217449E-3</v>
      </c>
      <c r="G49" s="12">
        <f>SUMIFS('[7]TABLO-1'!Q4:Q32873,'[7]TABLO-1'!H4:H32873,"=Dağıtım-AG",'[7]TABLO-1'!J4:J32873,"=Şebeke İşletmecisi",'[7]TABLO-1'!K4:K32873,"=Bildirimli",'[7]TABLO-1'!I4:I32873,"=Uzun",'[7]TABLO-1'!C4:C32873,"=EDİRNE")/P7</f>
        <v>0</v>
      </c>
      <c r="H49" s="10">
        <f>SUMIFS('[7]TABLO-1'!R4:R32873,'[7]TABLO-1'!H4:H32873,"=Dağıtım-AG",'[7]TABLO-1'!J4:J32873,"=Şebeke İşletmecisi",'[7]TABLO-1'!K4:K32873,"=Bildirimli",'[7]TABLO-1'!I4:I32873,"=Uzun",'[7]TABLO-1'!C4:C32873,"=EDİRNE")/P13</f>
        <v>6.7040365060139148E-2</v>
      </c>
      <c r="I49" s="10">
        <f t="shared" si="16"/>
        <v>6.5595457927955236E-2</v>
      </c>
      <c r="J49" s="12">
        <f>SUMIFS('[7]TABLO-1'!S4:S32873,'[7]TABLO-1'!H4:H32873,"=Dağıtım-AG",'[7]TABLO-1'!J4:J32873,"=Şebeke İşletmecisi",'[7]TABLO-1'!K4:K32873,"=Bildirimli",'[7]TABLO-1'!I4:I32873,"=Uzun",'[7]TABLO-1'!C4:C32873,"=EDİRNE")/P8</f>
        <v>0</v>
      </c>
      <c r="K49" s="10">
        <f>SUMIFS('[7]TABLO-1'!T4:T32873,'[7]TABLO-1'!H4:H32873,"=Dağıtım-AG",'[7]TABLO-1'!J4:J32873,"=Şebeke İşletmecisi",'[7]TABLO-1'!K4:K32873,"=bildirimli",'[7]TABLO-1'!I4:I32873,"=Uzun",'[7]TABLO-1'!C4:C32873,"=EDİRNE")/P14</f>
        <v>1.4461406906264932E-2</v>
      </c>
      <c r="L49" s="10">
        <f t="shared" si="17"/>
        <v>1.4087785277651872E-2</v>
      </c>
      <c r="M49" s="11">
        <f t="shared" si="18"/>
        <v>1.5825589849313294E-2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SUMIFS('[7]TABLO-1'!O4:O32873,'[7]TABLO-1'!H4:H32873,"=Dağıtım-AG",'[7]TABLO-1'!J4:J32873,"=Güvenlik",'[7]TABLO-1'!K4:K32873,"=Bildirimli",'[7]TABLO-1'!I4:I32873,"=Uzun",'[7]TABLO-1'!C4:C32873,"=EDİRNE")/P6</f>
        <v>0</v>
      </c>
      <c r="E50" s="10">
        <f>SUMIFS('[7]TABLO-1'!P4:P32873,'[7]TABLO-1'!H4:H32873,"=Dağıtım-AG",'[7]TABLO-1'!J4:J32873,"=Güvenlik",'[7]TABLO-1'!K4:K32873,"=Bildirimli",'[7]TABLO-1'!I4:I32873,"=Uzun",'[7]TABLO-1'!C4:C32873,"=EDİRNE")/P12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SUMIFS('[7]TABLO-1'!Q4:Q32873,'[7]TABLO-1'!H4:H32873,"=Dağıtım-AG",'[7]TABLO-1'!J4:J32873,"=Güvenlik",'[7]TABLO-1'!K4:K32873,"=Bildirimli",'[7]TABLO-1'!I4:I32873,"=Uzun",'[7]TABLO-1'!C4:C32873,"=EDİRNE")/P7</f>
        <v>0</v>
      </c>
      <c r="H50" s="10">
        <f>SUMIFS('[7]TABLO-1'!R4:R32873,'[7]TABLO-1'!H4:H32873,"=Dağıtım-AG",'[7]TABLO-1'!J4:J32873,"=Güvenlik",'[7]TABLO-1'!K4:K32873,"=Bildirimli",'[7]TABLO-1'!I4:I32873,"=Uzun",'[7]TABLO-1'!C4:C32873,"=EDİRNE")/P13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SUMIFS('[7]TABLO-1'!S4:S32873,'[7]TABLO-1'!H4:H32873,"=Dağıtım-AG",'[7]TABLO-1'!J4:J32873,"=Güvenlik",'[7]TABLO-1'!K4:K32873,"=Bildirimli",'[7]TABLO-1'!I4:I32873,"=Uzun",'[7]TABLO-1'!C4:C32873,"=EDİRNE")/P8</f>
        <v>0</v>
      </c>
      <c r="K50" s="10">
        <f>SUMIFS('[7]TABLO-1'!T4:T32873,'[7]TABLO-1'!H4:H32873,"=Dağıtım-AG",'[7]TABLO-1'!J4:J32873,"=Güvenlik",'[7]TABLO-1'!K4:K32873,"=bildirimli",'[7]TABLO-1'!I4:I32873,"=Uzun",'[7]TABLO-1'!C4:C32873,"=EDİRNE")/P14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5.3112033195020746E-2</v>
      </c>
      <c r="E51" s="10">
        <f t="shared" ref="E51:M51" si="19">SUM(E46:E50)</f>
        <v>4.327245170289179E-2</v>
      </c>
      <c r="F51" s="10">
        <f t="shared" si="19"/>
        <v>4.3337133879229925E-2</v>
      </c>
      <c r="G51" s="10">
        <f t="shared" si="19"/>
        <v>9.9744245524296671E-2</v>
      </c>
      <c r="H51" s="10">
        <f t="shared" si="19"/>
        <v>0.32351201374609168</v>
      </c>
      <c r="I51" s="10">
        <f t="shared" si="19"/>
        <v>0.31868919328611195</v>
      </c>
      <c r="J51" s="10">
        <f t="shared" si="19"/>
        <v>0.20531057373162637</v>
      </c>
      <c r="K51" s="10">
        <f t="shared" si="19"/>
        <v>0.19766856970398128</v>
      </c>
      <c r="L51" s="10">
        <f t="shared" si="19"/>
        <v>0.19786600678663743</v>
      </c>
      <c r="M51" s="10">
        <f t="shared" si="19"/>
        <v>0.11838152054471635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SUMIFS('[7]TABLO-1'!O1:O32873,'[7]TABLO-1'!H1:H32873,"=İletim",'[7]TABLO-1'!K1:K32873,"=Bildirimsiz",'[7]TABLO-1'!I1:I32873,"=Kısa",'[7]TABLO-1'!C1:C32873,"=EDİRNE")/P6</f>
        <v>0</v>
      </c>
      <c r="D56" s="10">
        <f>SUMIFS('[7]TABLO-1'!P1:P32873,'[7]TABLO-1'!H1:H32873,"=İletim",'[7]TABLO-1'!K1:K32873,"=Bildirimsiz",'[7]TABLO-1'!I1:I32873,"=Kısa",'[7]TABLO-1'!C1:C32873,"=EDİRNE")/P12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SUMIFS('[7]TABLO-1'!Q1:Q32873,'[7]TABLO-1'!H1:H32873,"=İletim",'[7]TABLO-1'!K1:K32873,"=Bildirimsiz",'[7]TABLO-1'!I1:I32873,"=Kısa",'[7]TABLO-1'!C1:C32873,"=EDİRNE")/P7</f>
        <v>0</v>
      </c>
      <c r="G56" s="10">
        <f>SUMIFS('[7]TABLO-1'!R1:R32873,'[7]TABLO-1'!H1:H32873,"=İletim",'[7]TABLO-1'!K1:K32873,"=Bildirimsiz",'[7]TABLO-1'!I1:I32873,"=Kısa",'[7]TABLO-1'!C1:C32873,"=EDİRNE")/P13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SUMIFS('[7]TABLO-1'!S1:S32873,'[7]TABLO-1'!H1:H32873,"=İletim",'[7]TABLO-1'!K1:K32873,"=Bildirimsiz",'[7]TABLO-1'!I1:I32873,"=Kısa",'[7]TABLO-1'!C1:C32873,"=EDİRNE")/P8</f>
        <v>0</v>
      </c>
      <c r="J56" s="10">
        <f>SUMIFS('[7]TABLO-1'!T1:T32873,'[7]TABLO-1'!H1:H32873,"=İletim",'[7]TABLO-1'!K1:K32873,"=Bildirimsiz",'[7]TABLO-1'!I1:I32873,"=Kısa",'[7]TABLO-1'!C1:C32873,"=EDİRNE")/P14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SUMIFS('[7]TABLO-1'!O4:O32873,'[7]TABLO-1'!H4:H32873,"=Dağıtım-OG",'[7]TABLO-1'!K4:K32873,"=Bildirimsiz",'[7]TABLO-1'!I4:I32873,"=Kısa",'[7]TABLO-1'!C4:C32873,"=EDİRNE")/P6</f>
        <v>0.12199170124481327</v>
      </c>
      <c r="D57" s="10">
        <f>SUMIFS('[7]TABLO-1'!P4:P32873,'[7]TABLO-1'!H4:H32873,"=Dağıtım-OG",'[7]TABLO-1'!K4:K32873,"=Bildirimsiz",'[7]TABLO-1'!I4:I32873,"=Kısa",'[7]TABLO-1'!C4:C32873,"=EDİRNE")/P12</f>
        <v>1.5502300908282172E-2</v>
      </c>
      <c r="E57" s="10">
        <f>IFERROR((((C57*$P$6)+(D57*$P$12))/$P$17),"0,00")</f>
        <v>1.6202327243367683E-2</v>
      </c>
      <c r="F57" s="10">
        <f>SUMIFS('[7]TABLO-1'!Q4:Q32873,'[7]TABLO-1'!H4:H32873,"=Dağıtım-OG",'[7]TABLO-1'!K4:K32873,"=Bildirimsiz",'[7]TABLO-1'!I4:I32873,"=Kısa",'[7]TABLO-1'!C4:C32873,"=EDİRNE")/P7</f>
        <v>0.27749360613810742</v>
      </c>
      <c r="G57" s="10">
        <f>SUMIFS('[7]TABLO-1'!R4:R32873,'[7]TABLO-1'!H4:H32873,"=Dağıtım-OG",'[7]TABLO-1'!K4:K32873,"=Bildirimsiz",'[7]TABLO-1'!I4:I32873,"=Kısa",'[7]TABLO-1'!C4:C32873,"=EDİRNE")/P13</f>
        <v>0.52660488436945441</v>
      </c>
      <c r="H57" s="10">
        <f>IFERROR((((F57*$P$7)+(G57*$P$13))/$P$20),"0,00")</f>
        <v>0.52123584047625615</v>
      </c>
      <c r="I57" s="10">
        <f>SUMIFS('[7]TABLO-1'!S4:S32873,'[7]TABLO-1'!H4:H32873,"=Dağıtım-OG",'[7]TABLO-1'!K4:K32873,"=Bildirimsiz",'[7]TABLO-1'!I4:I32873,"=Kısa",'[7]TABLO-1'!C4:C32873,"=EDİRNE")/P8</f>
        <v>0.49644381223328593</v>
      </c>
      <c r="J57" s="10">
        <f>SUMIFS('[7]TABLO-1'!T4:T32873,'[7]TABLO-1'!H4:H32873,"=Dağıtım-OG",'[7]TABLO-1'!K4:K32873,"=Bildirimsiz",'[7]TABLO-1'!I4:I32873,"=Kısa",'[7]TABLO-1'!C4:C32873,"=EDİRNE")/P14</f>
        <v>0.3748270918739468</v>
      </c>
      <c r="K57" s="10">
        <f>IFERROR((((I57*$P$8)+(J57*$P$14))/$P$23),"0,00")</f>
        <v>0.37796915387536595</v>
      </c>
      <c r="L57" s="11">
        <f>IFERROR((((E57*$P$17)+(H57*$P$20)+(K57*$P$23))/$P$26),"0,00")</f>
        <v>0.1750741150185412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SUMIFS('[7]TABLO-1'!O4:O32873,'[7]TABLO-1'!H4:H32873,"=Dağıtım-AG",'[7]TABLO-1'!K4:K32873,"=Bildirimsiz",'[7]TABLO-1'!I4:I32873,"=Kısa",'[7]TABLO-1'!C4:C32873,"=EDİRNE")/P6</f>
        <v>0</v>
      </c>
      <c r="D58" s="10">
        <f>SUMIFS('[7]TABLO-1'!P4:P32873,'[7]TABLO-1'!H4:H32873,"=Dağıtım-AG",'[7]TABLO-1'!K4:K32873,"=Bildirimsiz",'[7]TABLO-1'!I4:I32873,"=Kısa",'[7]TABLO-1'!C4:C32873,"=EDİRNE")/P12</f>
        <v>1.3893312539126424E-3</v>
      </c>
      <c r="E58" s="10">
        <f>IFERROR((((C58*$P$6)+(D58*$P$12))/$P$17),"0,00")</f>
        <v>1.3801982466572472E-3</v>
      </c>
      <c r="F58" s="10">
        <f>SUMIFS('[7]TABLO-1'!Q4:Q32873,'[7]TABLO-1'!H4:H32873,"=Dağıtım-AG",'[7]TABLO-1'!K4:K32873,"=Bildirimsiz",'[7]TABLO-1'!I4:I32873,"=Kısa",'[7]TABLO-1'!C4:C32873,"=EDİRNE")/P7</f>
        <v>0</v>
      </c>
      <c r="G58" s="10">
        <f>SUMIFS('[7]TABLO-1'!R4:R32873,'[7]TABLO-1'!H4:H32873,"=Dağıtım-AG",'[7]TABLO-1'!K4:K32873,"=Bildirimsiz",'[7]TABLO-1'!I4:I32873,"=Kısa",'[7]TABLO-1'!C4:C32873,"=EDİRNE")/P13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SUMIFS('[7]TABLO-1'!S4:S32873,'[7]TABLO-1'!H4:H32873,"=Dağıtım-AG",'[7]TABLO-1'!K4:K32873,"=Bildirimsiz",'[7]TABLO-1'!I4:I32873,"=Kısa",'[7]TABLO-1'!C4:C32873,"=EDİRNE")/P8</f>
        <v>0</v>
      </c>
      <c r="J58" s="10">
        <f>SUMIFS('[7]TABLO-1'!T4:T32873,'[7]TABLO-1'!H4:H32873,"=Dağıtım-AG",'[7]TABLO-1'!K4:K32873,"=Bildirimsiz",'[7]TABLO-1'!I4:I32873,"=Kısa",'[7]TABLO-1'!C4:C32873,"=EDİRNE")/P14</f>
        <v>1.8611201931540958E-3</v>
      </c>
      <c r="K58" s="10">
        <f>IFERROR((((I58*$P$8)+(J58*$P$14))/$P$23),"0,00")</f>
        <v>1.8130367139934584E-3</v>
      </c>
      <c r="L58" s="11">
        <f>IFERROR((((E58*$P$17)+(H58*$P$20)+(K58*$P$23))/$P$26),"0,00")</f>
        <v>1.3312484853313679E-3</v>
      </c>
    </row>
    <row r="59" spans="2:13" ht="15" customHeight="1" thickBot="1" x14ac:dyDescent="0.3">
      <c r="B59" s="30" t="s">
        <v>20</v>
      </c>
      <c r="C59" s="10">
        <f t="shared" ref="C59:L59" si="20">SUM(C56:C58)</f>
        <v>0.12199170124481327</v>
      </c>
      <c r="D59" s="10">
        <f t="shared" si="20"/>
        <v>1.6891632162194813E-2</v>
      </c>
      <c r="E59" s="10">
        <f t="shared" si="20"/>
        <v>1.7582525490024929E-2</v>
      </c>
      <c r="F59" s="10">
        <f t="shared" si="20"/>
        <v>0.27749360613810742</v>
      </c>
      <c r="G59" s="10">
        <f t="shared" si="20"/>
        <v>0.52660488436945441</v>
      </c>
      <c r="H59" s="10">
        <f t="shared" si="20"/>
        <v>0.52123584047625615</v>
      </c>
      <c r="I59" s="10">
        <f t="shared" si="20"/>
        <v>0.49644381223328593</v>
      </c>
      <c r="J59" s="10">
        <f t="shared" si="20"/>
        <v>0.3766882120671009</v>
      </c>
      <c r="K59" s="10">
        <f t="shared" si="20"/>
        <v>0.37978219058935941</v>
      </c>
      <c r="L59" s="10">
        <f t="shared" si="20"/>
        <v>0.17640536350387256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1205</v>
      </c>
      <c r="D65" s="27">
        <f>P12</f>
        <v>182102</v>
      </c>
      <c r="E65" s="27">
        <f>C65+D65</f>
        <v>183307</v>
      </c>
      <c r="F65" s="17">
        <f>P7</f>
        <v>782</v>
      </c>
      <c r="G65" s="27">
        <f>P13</f>
        <v>35501</v>
      </c>
      <c r="H65" s="17">
        <f>SUM(F65:G65)</f>
        <v>36283</v>
      </c>
      <c r="I65" s="17">
        <f>P8</f>
        <v>2109</v>
      </c>
      <c r="J65" s="27">
        <f>P14</f>
        <v>79522</v>
      </c>
      <c r="K65" s="17">
        <f>SUM(I65:J65)</f>
        <v>81631</v>
      </c>
      <c r="L65" s="17">
        <f>H65+E65+K65</f>
        <v>301221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Q71"/>
  <sheetViews>
    <sheetView zoomScale="70" zoomScaleNormal="70" workbookViewId="0">
      <selection activeCell="Q28" sqref="Q28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İşletmecisi",'[7]TABLO-1'!K4:K32873,"=Bildirimsiz",'[7]TABLO-1'!I4:I32873,"=Uzun",'[7]TABLO-1'!D4:D32873,"=UZUNKÖPRÜ")/P6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İşletmecisi",'[7]TABLO-1'!K4:K32873,"=Bildirimsiz",'[7]TABLO-1'!I4:I32873,"=Uzun",'[7]TABLO-1'!D4:D32873,"=UZUNKÖPRÜ")/P12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İşletmecisi",'[7]TABLO-1'!K4:K32873,"=Bildirimsiz",'[7]TABLO-1'!I4:I32873,"=Uzun",'[7]TABLO-1'!D4:D32873,"=UZUNKÖPRÜ")/P7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İşletmecisi",'[7]TABLO-1'!K4:K32873,"=Bildirimsiz",'[7]TABLO-1'!I4:I32873,"=Uzun",'[7]TABLO-1'!D4:D32873,"=UZUNKÖPRÜ")/P13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İşletmecisi",'[7]TABLO-1'!K4:K32873,"=Bildirimsiz",'[7]TABLO-1'!I4:I32873,"=Uzun",'[7]TABLO-1'!D4:D32873,"=UZUNKÖPRÜ")/P8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İşletmecisi",'[7]TABLO-1'!K4:K32873,"=Bildirimsiz",'[7]TABLO-1'!I4:I32873,"=Uzun",'[7]TABLO-1'!D4:D32873,"=UZUNKÖPRÜ")/P14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398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Sebep",'[7]TABLO-1'!K4:K32873,"=Bildirimsiz",'[7]TABLO-1'!I4:I32873,"=Uzun",'[7]TABLO-1'!D4:D32873,"=UZUNKÖPRÜ")/P6</f>
        <v>0</v>
      </c>
      <c r="E7" s="10">
        <f>SUMIFS('[7]TABLO-1'!V4:V32873,'[7]TABLO-1'!H4:H32873,"=İletim",'[7]TABLO-1'!J4:J32873,"=Mücbir Sebep",'[7]TABLO-1'!K4:K32873,"=Bildirimsiz",'[7]TABLO-1'!I4:I32873,"=Uzun",'[7]TABLO-1'!D4:D32873,"=UZUNKÖPRÜ")/P12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Sebep",'[7]TABLO-1'!K4:K32873,"=Bildirimsiz",'[7]TABLO-1'!I4:I32873,"=Uzun",'[7]TABLO-1'!D4:D32873,"=UZUNKÖPRÜ")/P7</f>
        <v>0</v>
      </c>
      <c r="H7" s="10">
        <f>SUMIFS('[7]TABLO-1'!X4:X32873,'[7]TABLO-1'!H4:H32873,"=İletim",'[7]TABLO-1'!J4:J32873,"=Mücbir Sebep",'[7]TABLO-1'!K4:K32873,"=Bildirimsiz",'[7]TABLO-1'!I4:I32873,"=Uzun",'[7]TABLO-1'!D4:D32873,"=UZUNKÖPRÜ")/P13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Sebep",'[7]TABLO-1'!K4:K32873,"=Bildirimsiz",'[7]TABLO-1'!I4:I32873,"=Uzun",'[7]TABLO-1'!D4:D32873,"=UZUNKÖPRÜ")/P8</f>
        <v>0</v>
      </c>
      <c r="K7" s="10">
        <f>SUMIFS('[7]TABLO-1'!Z4:Z32873,'[7]TABLO-1'!H4:H32873,"=İletim",'[7]TABLO-1'!J4:J32873,"=Mücbir Sebep",'[7]TABLO-1'!K4:K32873,"=Bildirimsiz",'[7]TABLO-1'!I4:I32873,"=Uzun",'[7]TABLO-1'!D4:D32873,"=UZUNKÖPRÜ")/P14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20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İşletmecisi",'[7]TABLO-1'!K4:K32873,"=Bildirimsiz",'[7]TABLO-1'!I4:I32873,"=Uzun",'[7]TABLO-1'!D4:D32873,"=UZUNKÖPRÜ")/P6</f>
        <v>25.49757118964563</v>
      </c>
      <c r="E8" s="10">
        <f>SUMIFS('[7]TABLO-1'!V4:V32873,'[7]TABLO-1'!H4:H32873,"=Dağıtım-OG",'[7]TABLO-1'!J4:J32873,"=Şebeke İşletmecisi",'[7]TABLO-1'!K4:K32873,"=Bildirimsiz",'[7]TABLO-1'!I4:I32873,"=Uzun",'[7]TABLO-1'!D4:D32873,"=UZUNKÖPRÜ")/P12</f>
        <v>6.1749364795460071</v>
      </c>
      <c r="F8" s="10">
        <f t="shared" si="0"/>
        <v>6.4365951034315385</v>
      </c>
      <c r="G8" s="10">
        <f>SUMIFS('[7]TABLO-1'!W4:W32873,'[7]TABLO-1'!H4:H32873,"=Dağıtım-OG",'[7]TABLO-1'!J4:J32873,"=Şebeke İşletmecisi",'[7]TABLO-1'!K4:K32873,"=Bildirimsiz",'[7]TABLO-1'!I4:I32873,"=Uzun",'[7]TABLO-1'!D4:D32873,"=UZUNKÖPRÜ")/P7</f>
        <v>18.262500000069849</v>
      </c>
      <c r="H8" s="10">
        <f>SUMIFS('[7]TABLO-1'!X4:X32873,'[7]TABLO-1'!H4:H32873,"=Dağıtım-OG",'[7]TABLO-1'!J4:J32873,"=Şebeke İşletmecisi",'[7]TABLO-1'!K4:K32873,"=Bildirimsiz",'[7]TABLO-1'!I4:I32873,"=Uzun",'[7]TABLO-1'!D4:D32873,"=UZUNKÖPRÜ")/P13</f>
        <v>4.9766291716374482</v>
      </c>
      <c r="I8" s="10">
        <f t="shared" si="1"/>
        <v>5.1174439127973042</v>
      </c>
      <c r="J8" s="10">
        <f>SUMIFS('[7]TABLO-1'!Y4:Y32873,'[7]TABLO-1'!H4:H32873,"=Dağıtım-OG",'[7]TABLO-1'!J4:J32873,"=Şebeke İşletmecisi",'[7]TABLO-1'!K4:K32873,"=Bildirimsiz",'[7]TABLO-1'!I4:I32873,"=Uzun",'[7]TABLO-1'!D4:D32873,"=UZUNKÖPRÜ")/P8</f>
        <v>58.492328044459491</v>
      </c>
      <c r="K8" s="10">
        <f>SUMIFS('[7]TABLO-1'!Z4:Z32873,'[7]TABLO-1'!H4:H32873,"=Dağıtım-OG",'[7]TABLO-1'!J4:J32873,"=Şebeke İşletmecisi",'[7]TABLO-1'!K4:K32873,"=Bildirimsiz",'[7]TABLO-1'!I4:I32873,"=Uzun",'[7]TABLO-1'!D4:D32873,"=UZUNKÖPRÜ")/P14</f>
        <v>80.44672752017317</v>
      </c>
      <c r="L8" s="10">
        <f t="shared" si="2"/>
        <v>79.857033567084287</v>
      </c>
      <c r="M8" s="11">
        <f t="shared" si="3"/>
        <v>29.165015473484203</v>
      </c>
      <c r="O8" s="20" t="s">
        <v>36</v>
      </c>
      <c r="P8" s="53">
        <v>378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SUMIFS('[7]TABLO-1'!U4:U32873,'[7]TABLO-1'!H4:H32873,"=Dağıtım-OG",'[7]TABLO-1'!J4:J32873,"=Dışsal",'[7]TABLO-1'!K4:K32873,"=Bildirimsiz",'[7]TABLO-1'!I4:I32873,"=Uzun",'[7]TABLO-1'!D4:D32873,"=UZUNKÖPRÜ")/P6</f>
        <v>0</v>
      </c>
      <c r="E9" s="10">
        <f>SUMIFS('[7]TABLO-1'!V4:V32873,'[7]TABLO-1'!H4:H32873,"=Dağıtım-OG",'[7]TABLO-1'!J4:J32873,"=Dışsal",'[7]TABLO-1'!K4:K32873,"=Bildirimsiz",'[7]TABLO-1'!I4:I32873,"=Uzun",'[7]TABLO-1'!D4:D32873,"=UZUNKÖPRÜ")/P12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SUMIFS('[7]TABLO-1'!W4:W32873,'[7]TABLO-1'!H4:H32873,"=Dağıtım-OG",'[7]TABLO-1'!J4:J32873,"=Dışsal",'[7]TABLO-1'!K4:K32873,"=Bildirimsiz",'[7]TABLO-1'!I4:I32873,"=Uzun",'[7]TABLO-1'!D4:D32873,"=UZUNKÖPRÜ")/P7</f>
        <v>0</v>
      </c>
      <c r="H9" s="10">
        <f>SUMIFS('[7]TABLO-1'!X4:X32873,'[7]TABLO-1'!H4:H32873,"=Dağıtım-OG",'[7]TABLO-1'!J4:J32873,"=Dışsal",'[7]TABLO-1'!K4:K32873,"=Bildirimsiz",'[7]TABLO-1'!I4:I32873,"=Uzun",'[7]TABLO-1'!D4:D32873,"=UZUNKÖPRÜ")/P13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SUMIFS('[7]TABLO-1'!Y4:Y32873,'[7]TABLO-1'!H4:H32873,"=Dağıtım-OG",'[7]TABLO-1'!J4:J32873,"=Dışsal",'[7]TABLO-1'!K4:K32873,"=Bildirimsiz",'[7]TABLO-1'!I4:I32873,"=Uzun",'[7]TABLO-1'!D4:D32873,"=UZUNKÖPRÜ")/P8</f>
        <v>0</v>
      </c>
      <c r="K9" s="10">
        <f>SUMIFS('[7]TABLO-1'!Z4:Z32873,'[7]TABLO-1'!H4:H32873,"=Dağıtım-OG",'[7]TABLO-1'!J4:J32873,"=Dışsal",'[7]TABLO-1'!K4:K32873,"=Bildirimsiz",'[7]TABLO-1'!I4:I32873,"=Uzun",'[7]TABLO-1'!D4:D32873,"=UZUNKÖPRÜ")/P14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796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Sebep",'[7]TABLO-1'!K4:K32873,"=Bildirimsiz",'[7]TABLO-1'!I4:I32873,"=Uzun",'[7]TABLO-1'!D4:D32873,"=UZUNKÖPRÜ")/P6</f>
        <v>0</v>
      </c>
      <c r="E10" s="10">
        <f>SUMIFS('[7]TABLO-1'!V4:V32873,'[7]TABLO-1'!H4:H32873,"=Dağıtım-OG",'[7]TABLO-1'!J4:J32873,"=Mücbir Sebep",'[7]TABLO-1'!K4:K32873,"=Bildirimsiz",'[7]TABLO-1'!I4:I32873,"=Uzun",'[7]TABLO-1'!D4:D32873,"=UZUNKÖPRÜ")/P12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Sebep",'[7]TABLO-1'!K4:K32873,"=Bildirimsiz",'[7]TABLO-1'!I4:I32873,"=Uzun",'[7]TABLO-1'!D4:D32873,"=UZUNKÖPRÜ")/P7</f>
        <v>0</v>
      </c>
      <c r="H10" s="10">
        <f>SUMIFS('[7]TABLO-1'!X4:X32873,'[7]TABLO-1'!H4:H32873,"=Dağıtım-OG",'[7]TABLO-1'!J4:J32873,"=Mücbir Sebep",'[7]TABLO-1'!K4:K32873,"=Bildirimsiz",'[7]TABLO-1'!I4:I32873,"=Uzun",'[7]TABLO-1'!D4:D32873,"=UZUNKÖPRÜ")/P13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Sebep",'[7]TABLO-1'!K4:K32873,"=Bildirimsiz",'[7]TABLO-1'!I4:I32873,"=Uzun",'[7]TABLO-1'!D4:D32873,"=UZUNKÖPRÜ")/P8</f>
        <v>0</v>
      </c>
      <c r="K10" s="10">
        <f>SUMIFS('[7]TABLO-1'!Z4:Z32873,'[7]TABLO-1'!H4:H32873,"=Dağıtım-OG",'[7]TABLO-1'!J4:J32873,"=Mücbir Sebep",'[7]TABLO-1'!K4:K32873,"=Bildirimsiz",'[7]TABLO-1'!I4:I32873,"=Uzun",'[7]TABLO-1'!D4:D32873,"=UZUNKÖPRÜ")/P14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SUMIFS('[7]TABLO-1'!U4:U32873,'[7]TABLO-1'!H4:H32873,"=Dağıtım-OG",'[7]TABLO-1'!J4:J32873,"=Güvenlik",'[7]TABLO-1'!K4:K32873,"=Bildirimsiz",'[7]TABLO-1'!I4:I32873,"=Uzun",'[7]TABLO-1'!D4:D32873,"=UZUNKÖPRÜ")/P6</f>
        <v>0</v>
      </c>
      <c r="E11" s="10">
        <f>SUMIFS('[7]TABLO-1'!V4:V32873,'[7]TABLO-1'!H4:H32873,"=Dağıtım-OG",'[7]TABLO-1'!J4:J32873,"=Güvenlik",'[7]TABLO-1'!K4:K32873,"=Bildirimsiz",'[7]TABLO-1'!I4:I32873,"=Uzun",'[7]TABLO-1'!D4:D32873,"=UZUNKÖPRÜ")/P12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SUMIFS('[7]TABLO-1'!W4:W32873,'[7]TABLO-1'!H4:H32873,"=Dağıtım-OG",'[7]TABLO-1'!J4:J32873,"=Güvenlik",'[7]TABLO-1'!K4:K32873,"=Bildirimsiz",'[7]TABLO-1'!I4:I32873,"=Uzun",'[7]TABLO-1'!D4:D32873,"=UZUNKÖPRÜ")/P7</f>
        <v>0</v>
      </c>
      <c r="H11" s="10">
        <f>SUMIFS('[7]TABLO-1'!X4:X32873,'[7]TABLO-1'!H4:H32873,"=Dağıtım-OG",'[7]TABLO-1'!J4:J32873,"=Güvenlik",'[7]TABLO-1'!K4:K32873,"=Bildirimsiz",'[7]TABLO-1'!I4:I32873,"=Uzun",'[7]TABLO-1'!D4:D32873,"=UZUNKÖPRÜ")/P13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SUMIFS('[7]TABLO-1'!Y4:Y32873,'[7]TABLO-1'!H4:H32873,"=Dağıtım-OG",'[7]TABLO-1'!J4:J32873,"=Güvenlik",'[7]TABLO-1'!K4:K32873,"=Bildirimsiz",'[7]TABLO-1'!I4:I32873,"=Uzun",'[7]TABLO-1'!D4:D32873,"=UZUNKÖPRÜ")/P8</f>
        <v>0</v>
      </c>
      <c r="K11" s="10">
        <f>SUMIFS('[7]TABLO-1'!Z4:Z32873,'[7]TABLO-1'!H4:H32873,"=Dağıtım-OG",'[7]TABLO-1'!J4:J32873,"=Güvenlik",'[7]TABLO-1'!K4:K32873,"=Bildirimsiz",'[7]TABLO-1'!I4:I32873,"=Uzun",'[7]TABLO-1'!D4:D32873,"=UZUNKÖPRÜ")/P14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İşletmecisi",'[7]TABLO-1'!K4:K32873,"=Bildirimsiz",'[7]TABLO-1'!I4:I32873,"=Uzun",'[7]TABLO-1'!D4:D32873,"=UZUNKÖPRÜ")/P6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işletmecisi",'[7]TABLO-1'!K4:K32873,"=Bildirimsiz",'[7]TABLO-1'!I4:I32873,"=Uzun",'[7]TABLO-1'!D4:D32873,"=UZUNKÖPRÜ")/P12</f>
        <v>2.1204457397023115</v>
      </c>
      <c r="F12" s="10">
        <f t="shared" si="0"/>
        <v>2.0917315957670417</v>
      </c>
      <c r="G12" s="12">
        <f>SUMIFS('[7]TABLO-1'!W4:W32873,'[7]TABLO-1'!H4:H32873,"=Dağıtım-AG",'[7]TABLO-1'!J4:J32873,"=Şebeke İşletmecisi",'[7]TABLO-1'!K4:K32873,"=Bildirimsiz",'[7]TABLO-1'!I4:I32873,"=Uzun",'[7]TABLO-1'!D4:D32873,"=UZUNKÖPRÜ")/P7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İşletmecisi",'[7]TABLO-1'!K4:K32873,"=Bildirimsiz",'[7]TABLO-1'!I4:I32873,"=Uzun",'[7]TABLO-1'!D4:D32873,"=UZUNKÖPRÜ")/P13</f>
        <v>13.006722014307593</v>
      </c>
      <c r="I12" s="10">
        <f t="shared" si="1"/>
        <v>12.868865925125743</v>
      </c>
      <c r="J12" s="12">
        <f>SUMIFS('[7]TABLO-1'!Y4:Y32873,'[7]TABLO-1'!H4:H32873,"=Dağıtım-AG",'[7]TABLO-1'!J4:J32873,"=Şebeke İşletmecisi",'[7]TABLO-1'!K4:K32873,"=Bildirimsiz",'[7]TABLO-1'!I4:I32873,"=Uzun",'[7]TABLO-1'!D4:D32873,"=UZUNKÖPRÜ")/P8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İşletmecisi",'[7]TABLO-1'!K4:K32873,"=Bildirimsiz",'[7]TABLO-1'!I4:I32873,"=Uzun",'[7]TABLO-1'!D4:D32873,"=UZUNKÖPRÜ")/P14</f>
        <v>14.182385298973031</v>
      </c>
      <c r="L12" s="10">
        <f t="shared" si="2"/>
        <v>13.801447215905327</v>
      </c>
      <c r="M12" s="11">
        <f t="shared" si="3"/>
        <v>6.1738307865612017</v>
      </c>
      <c r="O12" s="6" t="s">
        <v>33</v>
      </c>
      <c r="P12" s="42">
        <v>28993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SUMIFS('[7]TABLO-1'!U4:U32873,'[7]TABLO-1'!H4:H32873,"=Dağıtım-AG",'[7]TABLO-1'!J4:J32873,"=Dışsal",'[7]TABLO-1'!K4:K32873,"=Bildirimsiz",'[7]TABLO-1'!I4:I32873,"=Uzun",'[7]TABLO-1'!D4:D32873,"=UZUNKÖPRÜ")/P6</f>
        <v>0</v>
      </c>
      <c r="E13" s="10">
        <f>SUMIFS('[7]TABLO-1'!V4:V32873,'[7]TABLO-1'!H4:H32873,"=Dağıtım-AG",'[7]TABLO-1'!J4:J32873,"=Dışsal",'[7]TABLO-1'!K4:K32873,"=Bildirimsiz",'[7]TABLO-1'!I4:I32873,"=Uzun",'[7]TABLO-1'!D4:D32873,"=UZUNKÖPRÜ")/P12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SUMIFS('[7]TABLO-1'!W4:W32873,'[7]TABLO-1'!H4:H32873,"=Dağıtım-AG",'[7]TABLO-1'!J4:J32873,"=Dışsal",'[7]TABLO-1'!K4:K32873,"=Bildirimsiz",'[7]TABLO-1'!I4:I32873,"=Uzun",'[7]TABLO-1'!D4:D32873,"=UZUNKÖPRÜ")/P7</f>
        <v>0</v>
      </c>
      <c r="H13" s="10">
        <f>SUMIFS('[7]TABLO-1'!X4:X32873,'[7]TABLO-1'!H4:H32873,"=Dağıtım-AG",'[7]TABLO-1'!J4:J32873,"=Dışsal",'[7]TABLO-1'!K4:K32873,"=Bildirimsiz",'[7]TABLO-1'!I4:I32873,"=Uzun",'[7]TABLO-1'!D4:D32873,"=UZUNKÖPRÜ")/P13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SUMIFS('[7]TABLO-1'!Y4:Y32873,'[7]TABLO-1'!H4:H32873,"=Dağıtım-AG",'[7]TABLO-1'!J4:J32873,"=Dışsal",'[7]TABLO-1'!K4:K32873,"=Bildirimsiz",'[7]TABLO-1'!I4:I32873,"=Uzun",'[7]TABLO-1'!D4:D32873,"=UZUNKÖPRÜ")/P8</f>
        <v>0</v>
      </c>
      <c r="K13" s="10">
        <f>SUMIFS('[7]TABLO-1'!Z4:Z32873,'[7]TABLO-1'!H4:H32873,"=Dağıtım-AG",'[7]TABLO-1'!J4:J32873,"=Dışsal",'[7]TABLO-1'!K4:K32873,"=Bildirimsiz",'[7]TABLO-1'!I4:I32873,"=Uzun",'[7]TABLO-1'!D4:D32873,"=UZUNKÖPRÜ")/P14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1867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Sebep",'[7]TABLO-1'!K4:K32873,"=Bildirimsiz",'[7]TABLO-1'!I4:I32873,"=Uzun",'[7]TABLO-1'!D4:D32873,"=UZUNKÖPRÜ")/P6</f>
        <v>0</v>
      </c>
      <c r="E14" s="10">
        <f>SUMIFS('[7]TABLO-1'!V4:V32873,'[7]TABLO-1'!H4:H32873,"=Dağıtım-AG",'[7]TABLO-1'!J4:J32873,"=Mücbir Sebep",'[7]TABLO-1'!K4:K32873,"=Bildirimsiz",'[7]TABLO-1'!I4:I32873,"=Uzun",'[7]TABLO-1'!D4:D32873,"=UZUNKÖPRÜ")/P12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Sebep",'[7]TABLO-1'!K4:K32873,"=Bildirimsiz",'[7]TABLO-1'!I4:I32873,"=Uzun",'[7]TABLO-1'!D4:D32873,"=UZUNKÖPRÜ")/P7</f>
        <v>0</v>
      </c>
      <c r="H14" s="10">
        <f>SUMIFS('[7]TABLO-1'!X4:X32873,'[7]TABLO-1'!H4:H32873,"=Dağıtım-AG",'[7]TABLO-1'!J4:J32873,"=Mücbir Sebep",'[7]TABLO-1'!K4:K32873,"=Bildirimsiz",'[7]TABLO-1'!I4:I32873,"=Uzun",'[7]TABLO-1'!D4:D32873,"=UZUNKÖPRÜ")/P13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Sebep",'[7]TABLO-1'!K4:K32873,"=Bildirimsiz",'[7]TABLO-1'!I4:I32873,"=Uzun",'[7]TABLO-1'!D4:D32873,"=UZUNKÖPRÜ")/P8</f>
        <v>0</v>
      </c>
      <c r="K14" s="10">
        <f>SUMIFS('[7]TABLO-1'!Z4:Z32873,'[7]TABLO-1'!H4:H32873,"=Dağıtım-AG",'[7]TABLO-1'!J4:J32873,"=Mücbir Sebep",'[7]TABLO-1'!K4:K32873,"=Bildirimsiz",'[7]TABLO-1'!I4:I32873,"=Uzun",'[7]TABLO-1'!D4:D32873,"=UZUNKÖPRÜ")/P14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13695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SUMIFS('[7]TABLO-1'!U4:U32873,'[7]TABLO-1'!H4:H32873,"=Dağıtım-AG",'[7]TABLO-1'!J4:J32873,"=Güvenlik",'[7]TABLO-1'!K4:K32873,"=Bildirimsiz",'[7]TABLO-1'!I4:I32873,"=Uzun",'[7]TABLO-1'!D4:D32873,"=UZUNKÖPRÜ")/P6</f>
        <v>0</v>
      </c>
      <c r="E15" s="10">
        <f>SUMIFS('[7]TABLO-1'!V4:V32873,'[7]TABLO-1'!H4:H32873,"=Dağıtım-AG",'[7]TABLO-1'!J4:J32873,"=Güvenlik",'[7]TABLO-1'!K4:K32873,"=Bildirimsiz",'[7]TABLO-1'!I4:I32873,"=Uzun",'[7]TABLO-1'!D4:D32873,"=UZUNKÖPRÜ")/P12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SUMIFS('[7]TABLO-1'!W4:W32873,'[7]TABLO-1'!H4:H32873,"=Dağıtım-AG",'[7]TABLO-1'!J4:J32873,"=Güvenlik",'[7]TABLO-1'!K4:K32873,"=Bildirimsiz",'[7]TABLO-1'!I4:I32873,"=Uzun",'[7]TABLO-1'!D4:D32873,"=UZUNKÖPRÜ")/P7</f>
        <v>0</v>
      </c>
      <c r="H15" s="10">
        <f>SUMIFS('[7]TABLO-1'!X4:X32873,'[7]TABLO-1'!H4:H32873,"=Dağıtım-AG",'[7]TABLO-1'!J4:J32873,"=Güvenlik",'[7]TABLO-1'!K4:K32873,"=Bildirimsiz",'[7]TABLO-1'!I4:I32873,"=Uzun",'[7]TABLO-1'!D4:D32873,"=UZUNKÖPRÜ")/P13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SUMIFS('[7]TABLO-1'!Y4:Y32873,'[7]TABLO-1'!H4:H32873,"=Dağıtım-AG",'[7]TABLO-1'!J4:J32873,"=Güvenlik",'[7]TABLO-1'!K4:K32873,"=Bildirimsiz",'[7]TABLO-1'!I4:I32873,"=Uzun",'[7]TABLO-1'!D4:D32873,"=UZUNKÖPRÜ")/P8</f>
        <v>0</v>
      </c>
      <c r="K15" s="10">
        <f>SUMIFS('[7]TABLO-1'!Z4:Z32873,'[7]TABLO-1'!H4:H32873,"=Dağıtım-AG",'[7]TABLO-1'!J4:J32873,"=Güvenlik",'[7]TABLO-1'!K4:K32873,"=Bildirimsiz",'[7]TABLO-1'!I4:I32873,"=Uzun",'[7]TABLO-1'!D4:D32873,"=UZUNKÖPRÜ")/P14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44555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25.49757118964563</v>
      </c>
      <c r="E16" s="10">
        <f t="shared" si="4"/>
        <v>8.2953822192483191</v>
      </c>
      <c r="F16" s="10">
        <f t="shared" si="4"/>
        <v>8.5283266991985798</v>
      </c>
      <c r="G16" s="10">
        <f t="shared" si="4"/>
        <v>18.262500000069849</v>
      </c>
      <c r="H16" s="10">
        <f t="shared" si="4"/>
        <v>17.98335118594504</v>
      </c>
      <c r="I16" s="10">
        <f t="shared" si="4"/>
        <v>17.986309837923045</v>
      </c>
      <c r="J16" s="10">
        <f>SUM(J6:J15)</f>
        <v>58.492328044459491</v>
      </c>
      <c r="K16" s="10">
        <f>SUM(K6:K15)</f>
        <v>94.629112819146201</v>
      </c>
      <c r="L16" s="10">
        <f>SUM(L6:L15)</f>
        <v>93.658480782989614</v>
      </c>
      <c r="M16" s="11">
        <f t="shared" si="4"/>
        <v>35.338846260045408</v>
      </c>
    </row>
    <row r="17" spans="2:16" ht="15" customHeight="1" x14ac:dyDescent="0.25">
      <c r="B17" s="29"/>
      <c r="O17" s="50" t="s">
        <v>37</v>
      </c>
      <c r="P17" s="47">
        <f>P6+P12</f>
        <v>29391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1887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İşletmecisi",'[7]TABLO-1'!K4:K32873,"=Bildirimli",'[7]TABLO-1'!I4:I32873,"=Uzun",'[7]TABLO-1'!D4:D32873,"=UZUNKÖPRÜ")/P6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İşletmecisi",'[7]TABLO-1'!K4:K32873,"=Bildirimli",'[7]TABLO-1'!I4:I32873,"=Uzun",'[7]TABLO-1'!D4:D32873,"=UZUNKÖPRÜ")/P12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İşletmecisi",'[7]TABLO-1'!K4:K32873,"=Bildirimli",'[7]TABLO-1'!I4:I32873,"=Uzun",'[7]TABLO-1'!D4:D32873,"=UZUNKÖPRÜ")/P7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İşletmecisi",'[7]TABLO-1'!K4:K32873,"=Bildirimli",'[7]TABLO-1'!I4:I32873,"=Uzun",'[7]TABLO-1'!D4:D32873,"=UZUNKÖPRÜ")/P13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İşletmecisi",'[7]TABLO-1'!K4:K32873,"=Bildirimli",'[7]TABLO-1'!I4:I32873,"=Uzun",'[7]TABLO-1'!D4:D32873,"=UZUNKÖPRÜ")/P8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İşletmecisi",'[7]TABLO-1'!K4:K32873,"=Bildirimli",'[7]TABLO-1'!I4:I32873,"=Uzun",'[7]TABLO-1'!D4:D32873,"=UZUNKÖPRÜ")/P14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İşletmecisi",'[7]TABLO-1'!K4:K32873,"=Bildirimli",'[7]TABLO-1'!I4:I32873,"=Uzun",'[7]TABLO-1'!D4:D32873,"=UZUNKÖPRÜ")/P6</f>
        <v>15.302721942560256</v>
      </c>
      <c r="E22" s="10">
        <f>SUMIFS('[7]TABLO-1'!V4:V32873,'[7]TABLO-1'!H4:H32873,"=Dağıtım-OG",'[7]TABLO-1'!J4:J32873,"=Şebeke İşletmecisi",'[7]TABLO-1'!K4:K32873,"=Bildirimli",'[7]TABLO-1'!I4:I32873,"=Uzun",'[7]TABLO-1'!D4:D32873,"=UZUNKÖPRÜ")/P12</f>
        <v>2.5497683348234768</v>
      </c>
      <c r="F22" s="10">
        <f t="shared" ref="F22:F25" si="5">IFERROR((((D22*$P$6)+(E22*$P$12))/$P$17),"0,00")</f>
        <v>2.7224632256362846</v>
      </c>
      <c r="G22" s="10">
        <f>SUMIFS('[7]TABLO-1'!W4:W32873,'[7]TABLO-1'!H4:H32873,"=Dağıtım-OG",'[7]TABLO-1'!J4:J32873,"=Şebeke İşletmecisi",'[7]TABLO-1'!K4:K32873,"=Bildirimli",'[7]TABLO-1'!I4:I32873,"=Uzun",'[7]TABLO-1'!D4:D32873,"=UZUNKÖPRÜ")/P7</f>
        <v>21.259999999310821</v>
      </c>
      <c r="H22" s="10">
        <f>SUMIFS('[7]TABLO-1'!X4:X32873,'[7]TABLO-1'!H4:H32873,"=Dağıtım-OG",'[7]TABLO-1'!J4:J32873,"=Şebeke İşletmecisi",'[7]TABLO-1'!K4:K32873,"=Bildirimli",'[7]TABLO-1'!I4:I32873,"=Uzun",'[7]TABLO-1'!D4:D32873,"=UZUNKÖPRÜ")/P13</f>
        <v>0.75411533651088802</v>
      </c>
      <c r="I22" s="10">
        <f t="shared" ref="I22:I25" si="6">IFERROR((((G22*$P$7)+(H22*$P$13))/$P$20),"0,00")</f>
        <v>0.97145380670484605</v>
      </c>
      <c r="J22" s="10">
        <f>SUMIFS('[7]TABLO-1'!Y4:Y32873,'[7]TABLO-1'!H4:H32873,"=Dağıtım-OG",'[7]TABLO-1'!J4:J32873,"=Şebeke İşletmecisi",'[7]TABLO-1'!K4:K32873,"=Bildirimli",'[7]TABLO-1'!I4:I32873,"=Uzun",'[7]TABLO-1'!D4:D32873,"=UZUNKÖPRÜ")/P8</f>
        <v>42.562125218461176</v>
      </c>
      <c r="K22" s="10">
        <f>SUMIFS('[7]TABLO-1'!Z4:Z32873,'[7]TABLO-1'!H4:H32873,"=Dağıtım-OG",'[7]TABLO-1'!J4:J32873,"=Şebeke İşletmecisi",'[7]TABLO-1'!K4:K32873,"=Bildirimli",'[7]TABLO-1'!I4:I32873,"=Uzun",'[7]TABLO-1'!D4:D32873,"=UZUNKÖPRÜ")/P14</f>
        <v>47.842609222466024</v>
      </c>
      <c r="L22" s="10">
        <f t="shared" ref="L22:L25" si="7">IFERROR((((J22*$P$8)+(K22*$P$14))/$P$23),"0,00")</f>
        <v>47.700775714790772</v>
      </c>
      <c r="M22" s="11">
        <f t="shared" ref="M22:M25" si="8">IFERROR((((F22*$P$17)+(I22*$P$20)+(L22*$P$23))/$P$26),"0,00")</f>
        <v>16.606956111930909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SUMIFS('[7]TABLO-1'!U4:U32873,'[7]TABLO-1'!H4:H32873,"=Dağıtım-OG",'[7]TABLO-1'!J4:J32873,"=Güvenlik",'[7]TABLO-1'!K4:K32873,"=Bildirimli",'[7]TABLO-1'!I4:I32873,"=Uzun",'[7]TABLO-1'!D4:D32873,"=UZUNKÖPRÜ")/P6</f>
        <v>0</v>
      </c>
      <c r="E23" s="10">
        <f>SUMIFS('[7]TABLO-1'!V4:V32873,'[7]TABLO-1'!H4:H32873,"=Dağıtım-OG",'[7]TABLO-1'!J4:J32873,"=Güvenlik",'[7]TABLO-1'!K4:K32873,"=Bildirimli",'[7]TABLO-1'!I4:I32873,"=Uzun",'[7]TABLO-1'!D4:D32873,"=UZUNKÖPRÜ")/P12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SUMIFS('[7]TABLO-1'!W4:W32873,'[7]TABLO-1'!H4:H32873,"=Dağıtım-OG",'[7]TABLO-1'!J4:J32873,"=Güvenlik",'[7]TABLO-1'!K4:K32873,"=Bildirimli",'[7]TABLO-1'!I4:I32873,"=Uzun",'[7]TABLO-1'!D4:D32873,"=UZUNKÖPRÜ")/P7</f>
        <v>0</v>
      </c>
      <c r="H23" s="10">
        <f>SUMIFS('[7]TABLO-1'!X4:X32873,'[7]TABLO-1'!H4:H32873,"=Dağıtım-OG",'[7]TABLO-1'!J4:J32873,"=Güvenlik",'[7]TABLO-1'!K4:K32873,"=Bildirimli",'[7]TABLO-1'!I4:I32873,"=Uzun",'[7]TABLO-1'!D4:D32873,"=UZUNKÖPRÜ")/P13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SUMIFS('[7]TABLO-1'!Y4:Y32873,'[7]TABLO-1'!H4:H32873,"=Dağıtım-OG",'[7]TABLO-1'!J4:J32873,"=Güvenlik",'[7]TABLO-1'!K4:K32873,"=Bildirimli",'[7]TABLO-1'!I4:I32873,"=Uzun",'[7]TABLO-1'!D4:D32873,"=UZUNKÖPRÜ")/P8</f>
        <v>0</v>
      </c>
      <c r="K23" s="10">
        <f>SUMIFS('[7]TABLO-1'!Z4:Z32873,'[7]TABLO-1'!H4:H32873,"=Dağıtım-OG",'[7]TABLO-1'!J4:J32873,"=Güvenlik",'[7]TABLO-1'!K4:K32873,"=Bildirimli",'[7]TABLO-1'!I4:I32873,"=Uzun",'[7]TABLO-1'!D4:D32873,"=UZUNKÖPRÜ")/P14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14073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İşletmecisi",'[7]TABLO-1'!K4:K32873,"=Bildirimli",'[7]TABLO-1'!I4:I32873,"=Uzun",'[7]TABLO-1'!D4:D32873,"=UZUNKÖPRÜ")/P6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İşletmecisi",'[7]TABLO-1'!K4:K32873,"=Bildirimli",'[7]TABLO-1'!I4:I32873,"=Uzun",'[7]TABLO-1'!D4:D32873,"=UZUNKÖPRÜ")/P12</f>
        <v>0</v>
      </c>
      <c r="F24" s="10">
        <f t="shared" si="5"/>
        <v>0</v>
      </c>
      <c r="G24" s="12">
        <f>SUMIFS('[7]TABLO-1'!W4:W32873,'[7]TABLO-1'!H4:H32873,"=Dağıtım-AG",'[7]TABLO-1'!J4:J32873,"=Şebeke İşletmecisi",'[7]TABLO-1'!K4:K32873,"=Bildirimli",'[7]TABLO-1'!I4:I32873,"=Uzun",'[7]TABLO-1'!D4:D32873,"=UZUNKÖPRÜ")/P7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İşletmecisi",'[7]TABLO-1'!K4:K32873,"=Bildirimli",'[7]TABLO-1'!I4:I32873,"=Uzun",'[7]TABLO-1'!D4:D32873,"=UZUNKÖPRÜ")/P13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İşletmecisi",'[7]TABLO-1'!K4:K32873,"=Bildirimli",'[7]TABLO-1'!I4:I32873,"=Uzun",'[7]TABLO-1'!D4:D32873,"=UZUNKÖPRÜ")/P8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İşletmecisi",'[7]TABLO-1'!K4:K32873,"=Bildirimli",'[7]TABLO-1'!I4:I32873,"=Uzun",'[7]TABLO-1'!D4:D32873,"=UZUNKÖPRÜ")/P14</f>
        <v>9.1109918461325048</v>
      </c>
      <c r="L24" s="10">
        <f t="shared" si="7"/>
        <v>8.8662711101246821</v>
      </c>
      <c r="M24" s="11">
        <f t="shared" si="8"/>
        <v>2.7513182362634705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SUMIFS('[7]TABLO-1'!U4:U32873,'[7]TABLO-1'!H4:H32873,"=Dağıtım-AG",'[7]TABLO-1'!J4:J32873,"=Güvenlik",'[7]TABLO-1'!K4:K32873,"=Bildirimli",'[7]TABLO-1'!I4:I32873,"=Uzun",'[7]TABLO-1'!D4:D32873,"=UZUNKÖPRÜ")/P6</f>
        <v>0</v>
      </c>
      <c r="E25" s="10">
        <f>SUMIFS('[7]TABLO-1'!V4:V32873,'[7]TABLO-1'!H4:H32873,"=Dağıtım-AG",'[7]TABLO-1'!J4:J32873,"=Güvenlik",'[7]TABLO-1'!K4:K32873,"=Bildirimli",'[7]TABLO-1'!I4:I32873,"=Uzun",'[7]TABLO-1'!D4:D32873,"=UZUNKÖPRÜ")/P12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SUMIFS('[7]TABLO-1'!W4:W32873,'[7]TABLO-1'!H4:H32873,"=Dağıtım-AG",'[7]TABLO-1'!J4:J32873,"=Güvenlik",'[7]TABLO-1'!K4:K32873,"=Bildirimli",'[7]TABLO-1'!I4:I32873,"=Uzun",'[7]TABLO-1'!D4:D32873,"=UZUNKÖPRÜ")/P7</f>
        <v>0</v>
      </c>
      <c r="H25" s="10">
        <f>SUMIFS('[7]TABLO-1'!X4:X32873,'[7]TABLO-1'!H4:H32873,"=Dağıtım-AG",'[7]TABLO-1'!J4:J32873,"=Güvenlik",'[7]TABLO-1'!K4:K32873,"=Bildirimli",'[7]TABLO-1'!I4:I32873,"=Uzun",'[7]TABLO-1'!D4:D32873,"=UZUNKÖPRÜ")/P13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SUMIFS('[7]TABLO-1'!Y4:Y32873,'[7]TABLO-1'!H4:H32873,"=Dağıtım-AG",'[7]TABLO-1'!J4:J32873,"=Güvenlik",'[7]TABLO-1'!K4:K32873,"=Bildirimli",'[7]TABLO-1'!I4:I32873,"=Uzun",'[7]TABLO-1'!D4:D32873,"=UZUNKÖPRÜ")/P8</f>
        <v>0</v>
      </c>
      <c r="K25" s="10">
        <f>SUMIFS('[7]TABLO-1'!Z4:Z32873,'[7]TABLO-1'!H4:H32873,"=Dağıtım-AG",'[7]TABLO-1'!J4:J32873,"=Güvenlik",'[7]TABLO-1'!K4:K32873,"=Bildirimli",'[7]TABLO-1'!I4:I32873,"=Uzun",'[7]TABLO-1'!D4:D32873,"=UZUNKÖPRÜ")/P14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15.302721942560256</v>
      </c>
      <c r="E26" s="10">
        <f t="shared" ref="E26:M26" si="9">SUM(E21:E25)</f>
        <v>2.5497683348234768</v>
      </c>
      <c r="F26" s="10">
        <f t="shared" si="9"/>
        <v>2.7224632256362846</v>
      </c>
      <c r="G26" s="10">
        <f t="shared" si="9"/>
        <v>21.259999999310821</v>
      </c>
      <c r="H26" s="10">
        <f t="shared" si="9"/>
        <v>0.75411533651088802</v>
      </c>
      <c r="I26" s="10">
        <f t="shared" si="9"/>
        <v>0.97145380670484605</v>
      </c>
      <c r="J26" s="10">
        <f t="shared" si="9"/>
        <v>42.562125218461176</v>
      </c>
      <c r="K26" s="10">
        <f t="shared" si="9"/>
        <v>56.95360106859853</v>
      </c>
      <c r="L26" s="10">
        <f t="shared" si="9"/>
        <v>56.567046824915451</v>
      </c>
      <c r="M26" s="11">
        <f t="shared" si="9"/>
        <v>19.358274348194378</v>
      </c>
      <c r="O26" s="43" t="s">
        <v>22</v>
      </c>
      <c r="P26" s="44">
        <f>P20+P17+P23</f>
        <v>45351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İşletmecisi",'[7]TABLO-1'!K4:K32873,"=Bildirimsiz",'[7]TABLO-1'!I4:I32873,"=Uzun",'[7]TABLO-1'!D4:D32873,"=UZUNKÖPRÜ")/P6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İşletmecisi",'[7]TABLO-1'!K4:K32873,"=Bildirimsiz",'[7]TABLO-1'!I4:I32873,"=Uzun",'[7]TABLO-1'!D4:D32873,"=UZUNKÖPRÜ")/P12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İşletmecisi",'[7]TABLO-1'!K4:K32873,"=Bildirimsiz",'[7]TABLO-1'!I4:I32873,"=Uzun",'[7]TABLO-1'!D4:D32873,"=UZUNKÖPRÜ")/P7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İşletmecisi",'[7]TABLO-1'!K4:K32873,"=Bildirimsiz",'[7]TABLO-1'!I4:I32873,"=Uzun",'[7]TABLO-1'!D4:D32873,"=UZUNKÖPRÜ")/P13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İşletmecisi",'[7]TABLO-1'!K4:K32873,"=Bildirimsiz",'[7]TABLO-1'!I4:I32873,"=Uzun",'[7]TABLO-1'!D4:D32873,"=UZUNKÖPRÜ")/P8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İşletmecisi",'[7]TABLO-1'!K4:K32873,"=bildirimsiz",'[7]TABLO-1'!I4:I32873,"=Uzun",'[7]TABLO-1'!D4:D32873,"=UZUNKÖPRÜ")/P14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Sebep",'[7]TABLO-1'!K4:K32873,"=Bildirimsiz",'[7]TABLO-1'!I4:I32873,"=Uzun",'[7]TABLO-1'!D4:D32873,"=UZUNKÖPRÜ")/P6</f>
        <v>0</v>
      </c>
      <c r="E32" s="10">
        <f>SUMIFS('[7]TABLO-1'!P4:P32873,'[7]TABLO-1'!H4:H32873,"=İletim",'[7]TABLO-1'!J4:J32873,"=Mücbir Sebep",'[7]TABLO-1'!K4:K32873,"=Bildirimsiz",'[7]TABLO-1'!I4:I32873,"=Uzun",'[7]TABLO-1'!D4:D32873,"=UZUNKÖPRÜ")/P12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Sebep",'[7]TABLO-1'!K4:K32873,"=Bildirimsiz",'[7]TABLO-1'!I4:I32873,"=Uzun",'[7]TABLO-1'!D4:D32873,"=UZUNKÖPRÜ")/P7</f>
        <v>0</v>
      </c>
      <c r="H32" s="10">
        <f>SUMIFS('[7]TABLO-1'!R4:R32873,'[7]TABLO-1'!H4:H32873,"=İletim",'[7]TABLO-1'!J4:J32873,"=Mücbir Sebep",'[7]TABLO-1'!K4:K32873,"=Bildirimsiz",'[7]TABLO-1'!I4:I32873,"=Uzun",'[7]TABLO-1'!D4:D32873,"=UZUNKÖPRÜ")/P13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Sebep",'[7]TABLO-1'!K4:K32873,"=Bildirimsiz",'[7]TABLO-1'!I4:I32873,"=Uzun",'[7]TABLO-1'!D4:D32873,"=UZUNKÖPRÜ")/P8</f>
        <v>0</v>
      </c>
      <c r="K32" s="10">
        <f>SUMIFS('[7]TABLO-1'!T4:T32873,'[7]TABLO-1'!H4:H32873,"=İletim",'[7]TABLO-1'!J4:J32873,"=Mücbir Sebep",'[7]TABLO-1'!K4:K32873,"=bildirimsiz",'[7]TABLO-1'!I4:I32873,"=Uzun",'[7]TABLO-1'!D4:D32873,"=UZUNKÖPRÜ")/P14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İşletmecisi",'[7]TABLO-1'!K4:K32873,"=Bildirimsiz",'[7]TABLO-1'!I4:I32873,"=Uzun",'[7]TABLO-1'!D4:D32873,"=UZUNKÖPRÜ")/P6</f>
        <v>0.66834170854271358</v>
      </c>
      <c r="E33" s="10">
        <f>SUMIFS('[7]TABLO-1'!P4:P32873,'[7]TABLO-1'!H4:H32873,"=Dağıtım-OG",'[7]TABLO-1'!J4:J32873,"=Şebeke İşletmecisi",'[7]TABLO-1'!K4:K32873,"=Bildirimsiz",'[7]TABLO-1'!I4:I32873,"=Uzun",'[7]TABLO-1'!D4:D32873,"=UZUNKÖPRÜ")/P12</f>
        <v>0.37064118925257822</v>
      </c>
      <c r="F33" s="10">
        <f t="shared" si="10"/>
        <v>0.37467251879827157</v>
      </c>
      <c r="G33" s="10">
        <f>SUMIFS('[7]TABLO-1'!Q4:Q32873,'[7]TABLO-1'!H4:H32873,"=Dağıtım-OG",'[7]TABLO-1'!J4:J32873,"=Şebeke İşletmecisi",'[7]TABLO-1'!K4:K32873,"=Bildirimsiz",'[7]TABLO-1'!I4:I32873,"=Uzun",'[7]TABLO-1'!D4:D32873,"=UZUNKÖPRÜ")/P7</f>
        <v>0.65</v>
      </c>
      <c r="H33" s="10">
        <f>SUMIFS('[7]TABLO-1'!R4:R32873,'[7]TABLO-1'!H4:H32873,"=Dağıtım-OG",'[7]TABLO-1'!J4:J32873,"=Şebeke İşletmecisi",'[7]TABLO-1'!K4:K32873,"=Bildirimsiz",'[7]TABLO-1'!I4:I32873,"=Uzun",'[7]TABLO-1'!D4:D32873,"=UZUNKÖPRÜ")/P13</f>
        <v>0.99892876272094266</v>
      </c>
      <c r="I33" s="10">
        <f t="shared" si="11"/>
        <v>0.99523052464228934</v>
      </c>
      <c r="J33" s="10">
        <f>SUMIFS('[7]TABLO-1'!S4:S32873,'[7]TABLO-1'!H4:H32873,"=Dağıtım-OG",'[7]TABLO-1'!J4:J32873,"=Şebeke İşletmecisi",'[7]TABLO-1'!K4:K32873,"=Bildirimsiz",'[7]TABLO-1'!I4:I32873,"=Uzun",'[7]TABLO-1'!D4:D32873,"=UZUNKÖPRÜ")/P8</f>
        <v>1.8544973544973544</v>
      </c>
      <c r="K33" s="10">
        <f>SUMIFS('[7]TABLO-1'!T4:T32873,'[7]TABLO-1'!H4:H32873,"=Dağıtım-OG",'[7]TABLO-1'!J4:J32873,"=Şebeke İşletmecisi",'[7]TABLO-1'!K4:K32873,"=bildirimsiz",'[7]TABLO-1'!I4:I32873,"=Uzun",'[7]TABLO-1'!D4:D32873,"=UZUNKÖPRÜ")/P14</f>
        <v>2.0243154435925521</v>
      </c>
      <c r="L33" s="10">
        <f t="shared" si="12"/>
        <v>2.0197541391316705</v>
      </c>
      <c r="M33" s="11">
        <f t="shared" si="13"/>
        <v>0.91098321977464669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SUMIFS('[7]TABLO-1'!O4:O32873,'[7]TABLO-1'!H4:H32873,"=Dağıtım-OG",'[7]TABLO-1'!J4:J32873,"=Dışsal",'[7]TABLO-1'!K4:K32873,"=Bildirimsiz",'[7]TABLO-1'!I4:I32873,"=Uzun",'[7]TABLO-1'!D4:D32873,"=UZUNKÖPRÜ")/P6</f>
        <v>0</v>
      </c>
      <c r="E34" s="10">
        <f>SUMIFS('[7]TABLO-1'!P4:P32873,'[7]TABLO-1'!H4:H32873,"=Dağıtım-OG",'[7]TABLO-1'!J4:J32873,"=Dışsal",'[7]TABLO-1'!K4:K32873,"=Bildirimsiz",'[7]TABLO-1'!I4:I32873,"=Uzun",'[7]TABLO-1'!D4:D32873,"=UZUNKÖPRÜ")/P12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SUMIFS('[7]TABLO-1'!Q4:Q32873,'[7]TABLO-1'!H4:H32873,"=Dağıtım-OG",'[7]TABLO-1'!J4:J32873,"=Dışsal",'[7]TABLO-1'!K4:K32873,"=Bildirimsiz",'[7]TABLO-1'!I4:I32873,"=Uzun",'[7]TABLO-1'!D4:D32873,"=UZUNKÖPRÜ")/P7</f>
        <v>0</v>
      </c>
      <c r="H34" s="10">
        <f>SUMIFS('[7]TABLO-1'!R4:R32873,'[7]TABLO-1'!H4:H32873,"=Dağıtım-OG",'[7]TABLO-1'!J4:J32873,"=Dışsal",'[7]TABLO-1'!K4:K32873,"=Bildirimsiz",'[7]TABLO-1'!I4:I32873,"=Uzun",'[7]TABLO-1'!D4:D32873,"=UZUNKÖPRÜ")/P13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SUMIFS('[7]TABLO-1'!S4:S32873,'[7]TABLO-1'!H4:H32873,"=Dağıtım-OG",'[7]TABLO-1'!J4:J32873,"=Dışsal",'[7]TABLO-1'!K4:K32873,"=Bildirimsiz",'[7]TABLO-1'!I4:I32873,"=Uzun",'[7]TABLO-1'!D4:D32873,"=UZUNKÖPRÜ")/P8</f>
        <v>0</v>
      </c>
      <c r="K34" s="10">
        <f>SUMIFS('[7]TABLO-1'!T4:T32873,'[7]TABLO-1'!H4:H32873,"=Dağıtım-OG",'[7]TABLO-1'!J4:J32873,"=Dışsal",'[7]TABLO-1'!K4:K32873,"=bildirimsiz",'[7]TABLO-1'!I4:I32873,"=Uzun",'[7]TABLO-1'!D4:D32873,"=UZUNKÖPRÜ")/P14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Sebep",'[7]TABLO-1'!K4:K32873,"=Bildirimsiz",'[7]TABLO-1'!I4:I32873,"=Uzun",'[7]TABLO-1'!D4:D32873,"=UZUNKÖPRÜ")/P6</f>
        <v>0</v>
      </c>
      <c r="E35" s="10">
        <f>SUMIFS('[7]TABLO-1'!P4:P32873,'[7]TABLO-1'!H4:H32873,"=Dağıtım-OG",'[7]TABLO-1'!J4:J32873,"=Mücbir Sebep",'[7]TABLO-1'!K4:K32873,"=Bildirimsiz",'[7]TABLO-1'!I4:I32873,"=Uzun",'[7]TABLO-1'!D4:D32873,"=UZUNKÖPRÜ")/P12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Sebep",'[7]TABLO-1'!K4:K32873,"=Bildirimsiz",'[7]TABLO-1'!I4:I32873,"=Uzun",'[7]TABLO-1'!D4:D32873,"=UZUNKÖPRÜ")/P7</f>
        <v>0</v>
      </c>
      <c r="H35" s="10">
        <f>SUMIFS('[7]TABLO-1'!R4:R32873,'[7]TABLO-1'!H4:H32873,"=Dağıtım-OG",'[7]TABLO-1'!J4:J32873,"=Mücbir Sebep",'[7]TABLO-1'!K4:K32873,"=Bildirimsiz",'[7]TABLO-1'!I4:I32873,"=Uzun",'[7]TABLO-1'!D4:D32873,"=UZUNKÖPRÜ")/P13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Sebep",'[7]TABLO-1'!K4:K32873,"=Bildirimsiz",'[7]TABLO-1'!I4:I32873,"=Uzun",'[7]TABLO-1'!D4:D32873,"=UZUNKÖPRÜ")/P8</f>
        <v>0</v>
      </c>
      <c r="K35" s="10">
        <f>SUMIFS('[7]TABLO-1'!T4:T32873,'[7]TABLO-1'!H4:H32873,"=Dağıtım-OG",'[7]TABLO-1'!J4:J32873,"=Mücbir Sebep",'[7]TABLO-1'!K4:K32873,"=bildirimsiz",'[7]TABLO-1'!I4:I32873,"=Uzun",'[7]TABLO-1'!D4:D32873,"=UZUNKÖPRÜ")/P14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SUMIFS('[7]TABLO-1'!O4:O32873,'[7]TABLO-1'!H4:H32873,"=Dağıtım-OG",'[7]TABLO-1'!J4:J32873,"=Güvenlik",'[7]TABLO-1'!K4:K32873,"=Bildirimsiz",'[7]TABLO-1'!I4:I32873,"=Uzun",'[7]TABLO-1'!D4:D32873,"=UZUNKÖPRÜ")/P6</f>
        <v>0</v>
      </c>
      <c r="E36" s="10">
        <f>SUMIFS('[7]TABLO-1'!P4:P32873,'[7]TABLO-1'!H4:H32873,"=Dağıtım-OG",'[7]TABLO-1'!J4:J32873,"=Güvenlik",'[7]TABLO-1'!K4:K32873,"=Bildirimsiz",'[7]TABLO-1'!I4:I32873,"=Uzun",'[7]TABLO-1'!D4:D32873,"=UZUNKÖPRÜ")/P12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SUMIFS('[7]TABLO-1'!Q4:Q32873,'[7]TABLO-1'!H4:H32873,"=Dağıtım-OG",'[7]TABLO-1'!J4:J32873,"=Güvenlik",'[7]TABLO-1'!K4:K32873,"=Bildirimsiz",'[7]TABLO-1'!I4:I32873,"=Uzun",'[7]TABLO-1'!D4:D32873,"=UZUNKÖPRÜ")/P7</f>
        <v>0</v>
      </c>
      <c r="H36" s="10">
        <f>SUMIFS('[7]TABLO-1'!R4:R32873,'[7]TABLO-1'!H4:H32873,"=Dağıtım-OG",'[7]TABLO-1'!J4:J32873,"=Güvenlik",'[7]TABLO-1'!K4:K32873,"=Bildirimsiz",'[7]TABLO-1'!I4:I32873,"=Uzun",'[7]TABLO-1'!D4:D32873,"=UZUNKÖPRÜ")/P13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SUMIFS('[7]TABLO-1'!S4:S32873,'[7]TABLO-1'!H4:H32873,"=Dağıtım-OG",'[7]TABLO-1'!J4:J32873,"=Güvenlik",'[7]TABLO-1'!K4:K32873,"=Bildirimsiz",'[7]TABLO-1'!I4:I32873,"=Uzun",'[7]TABLO-1'!D4:D32873,"=UZUNKÖPRÜ")/P8</f>
        <v>0</v>
      </c>
      <c r="K36" s="10">
        <f>SUMIFS('[7]TABLO-1'!T4:T32873,'[7]TABLO-1'!H4:H32873,"=Dağıtım-OG",'[7]TABLO-1'!J4:J32873,"=Güvenlik",'[7]TABLO-1'!K4:K32873,"=bildirimsiz",'[7]TABLO-1'!I4:I32873,"=Uzun",'[7]TABLO-1'!D4:D32873,"=UZUNKÖPRÜ")/P14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İşletmecisi",'[7]TABLO-1'!K4:K32873,"=Bildirimsiz",'[7]TABLO-1'!I4:I32873,"=Uzun",'[7]TABLO-1'!D4:D32873,"=UZUNKÖPRÜ")/P6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İşletmecisi",'[7]TABLO-1'!K4:K32873,"=Bildirimsiz",'[7]TABLO-1'!I4:I32873,"=Uzun",'[7]TABLO-1'!D4:D32873,"=UZUNKÖPRÜ")/P12</f>
        <v>8.4882557858793506E-2</v>
      </c>
      <c r="F37" s="10">
        <f t="shared" si="10"/>
        <v>8.3733115579599199E-2</v>
      </c>
      <c r="G37" s="12">
        <f>SUMIFS('[7]TABLO-1'!Q4:Q32873,'[7]TABLO-1'!H4:H32873,"=Dağıtım-AG",'[7]TABLO-1'!J4:J32873,"=Şebeke İşletmecisi",'[7]TABLO-1'!K4:K32873,"=Bildirimsiz",'[7]TABLO-1'!I4:I32873,"=Uzun",'[7]TABLO-1'!D4:D32873,"=UZUNKÖPRÜ")/P7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İşletmecisi",'[7]TABLO-1'!K4:K32873,"=Bildirimsiz",'[7]TABLO-1'!I4:I32873,"=Uzun",'[7]TABLO-1'!D4:D32873,"=UZUNKÖPRÜ")/P13</f>
        <v>0.29459025174076059</v>
      </c>
      <c r="I37" s="10">
        <f t="shared" si="11"/>
        <v>0.29146793852676206</v>
      </c>
      <c r="J37" s="12">
        <f>SUMIFS('[7]TABLO-1'!S4:S32873,'[7]TABLO-1'!H4:H32873,"=Dağıtım-AG",'[7]TABLO-1'!J4:J32873,"=Şebeke İşletmecisi",'[7]TABLO-1'!K4:K32873,"=Bildirimsiz",'[7]TABLO-1'!I4:I32873,"=Uzun",'[7]TABLO-1'!D4:D32873,"=UZUNKÖPRÜ")/P8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İşletmecisi",'[7]TABLO-1'!K4:K32873,"=bildirimsiz",'[7]TABLO-1'!I4:I32873,"=Uzun",'[7]TABLO-1'!D4:D32873,"=UZUNKÖPRÜ")/P14</f>
        <v>0.31091639284410366</v>
      </c>
      <c r="L37" s="10">
        <f t="shared" si="12"/>
        <v>0.30256519576493995</v>
      </c>
      <c r="M37" s="11">
        <f t="shared" si="13"/>
        <v>0.16028312495865582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SUMIFS('[7]TABLO-1'!O4:O32873,'[7]TABLO-1'!H4:H32873,"=Dağıtım-AG",'[7]TABLO-1'!J4:J32873,"=Dışsal",'[7]TABLO-1'!K4:K32873,"=Bildirimsiz",'[7]TABLO-1'!I4:I32873,"=Uzun",'[7]TABLO-1'!D4:D32873,"=UZUNKÖPRÜ")/P6</f>
        <v>0</v>
      </c>
      <c r="E38" s="10">
        <f>SUMIFS('[7]TABLO-1'!P4:P32873,'[7]TABLO-1'!H4:H32873,"=Dağıtım-AG",'[7]TABLO-1'!J4:J32873,"=Dışsal",'[7]TABLO-1'!K4:K32873,"=Bildirimsiz",'[7]TABLO-1'!I4:I32873,"=Uzun",'[7]TABLO-1'!D4:D32873,"=UZUNKÖPRÜ")/P12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SUMIFS('[7]TABLO-1'!Q4:Q32873,'[7]TABLO-1'!H4:H32873,"=Dağıtım-AG",'[7]TABLO-1'!J4:J32873,"=Dışsal",'[7]TABLO-1'!K4:K32873,"=Bildirimsiz",'[7]TABLO-1'!I4:I32873,"=Uzun",'[7]TABLO-1'!D4:D32873,"=UZUNKÖPRÜ")/P7</f>
        <v>0</v>
      </c>
      <c r="H38" s="10">
        <f>SUMIFS('[7]TABLO-1'!R4:R32873,'[7]TABLO-1'!H4:H32873,"=Dağıtım-AG",'[7]TABLO-1'!J4:J32873,"=Dışsal",'[7]TABLO-1'!K4:K32873,"=Bildirimsiz",'[7]TABLO-1'!I4:I32873,"=Uzun",'[7]TABLO-1'!D4:D32873,"=UZUNKÖPRÜ")/P13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SUMIFS('[7]TABLO-1'!S4:S32873,'[7]TABLO-1'!H4:H32873,"=Dağıtım-AG",'[7]TABLO-1'!J4:J32873,"=Dışsal",'[7]TABLO-1'!K4:K32873,"=Bildirimsiz",'[7]TABLO-1'!I4:I32873,"=Uzun",'[7]TABLO-1'!D4:D32873,"=UZUNKÖPRÜ")/P8</f>
        <v>0</v>
      </c>
      <c r="K38" s="10">
        <f>SUMIFS('[7]TABLO-1'!T4:T32873,'[7]TABLO-1'!H4:H32873,"=Dağıtım-AG",'[7]TABLO-1'!J4:J32873,"=Dışsal",'[7]TABLO-1'!K4:K32873,"=bildirimsiz",'[7]TABLO-1'!I4:I32873,"=Uzun",'[7]TABLO-1'!D4:D32873,"=UZUNKÖPRÜ")/P14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Sebep",'[7]TABLO-1'!K4:K32873,"=Bildirimsiz",'[7]TABLO-1'!I4:I32873,"=Uzun",'[7]TABLO-1'!D4:D32873,"=UZUNKÖPRÜ")/P6</f>
        <v>0</v>
      </c>
      <c r="E39" s="10">
        <f>SUMIFS('[7]TABLO-1'!P4:P32873,'[7]TABLO-1'!H4:H32873,"=Dağıtım-AG",'[7]TABLO-1'!J4:J32873,"=Mücbir Sebep",'[7]TABLO-1'!K4:K32873,"=Bildirimsiz",'[7]TABLO-1'!I4:I32873,"=Uzun",'[7]TABLO-1'!D4:D32873,"=UZUNKÖPRÜ")/P12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Sebep",'[7]TABLO-1'!K4:K32873,"=Bildirimsiz",'[7]TABLO-1'!I4:I32873,"=Uzun",'[7]TABLO-1'!D4:D32873,"=UZUNKÖPRÜ")/P7</f>
        <v>0</v>
      </c>
      <c r="H39" s="10">
        <f>SUMIFS('[7]TABLO-1'!R4:R32873,'[7]TABLO-1'!H4:H32873,"=Dağıtım-AG",'[7]TABLO-1'!J4:J32873,"=Mücbir Sebep",'[7]TABLO-1'!K4:K32873,"=Bildirimsiz",'[7]TABLO-1'!I4:I32873,"=Uzun",'[7]TABLO-1'!D4:D32873,"=UZUNKÖPRÜ")/P13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Sebep",'[7]TABLO-1'!K4:K32873,"=Bildirimsiz",'[7]TABLO-1'!I4:I32873,"=Uzun",'[7]TABLO-1'!D4:D32873,"=UZUNKÖPRÜ")/P8</f>
        <v>0</v>
      </c>
      <c r="K39" s="10">
        <f>SUMIFS('[7]TABLO-1'!T4:T32873,'[7]TABLO-1'!H4:H32873,"=Dağıtım-AG",'[7]TABLO-1'!J4:J32873,"=Mücbir Sebep",'[7]TABLO-1'!K4:K32873,"=bildirimsiz",'[7]TABLO-1'!I4:I32873,"=Uzun",'[7]TABLO-1'!D4:D32873,"=UZUNKÖPRÜ")/P14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SUMIFS('[7]TABLO-1'!O4:O32873,'[7]TABLO-1'!H4:H32873,"=Dağıtım-AG",'[7]TABLO-1'!J4:J32873,"=Güvenlik",'[7]TABLO-1'!K4:K32873,"=Bildirimsiz",'[7]TABLO-1'!I4:I32873,"=Uzun",'[7]TABLO-1'!D4:D32873,"=UZUNKÖPRÜ")/P6</f>
        <v>0</v>
      </c>
      <c r="E40" s="10">
        <f>SUMIFS('[7]TABLO-1'!P4:P32873,'[7]TABLO-1'!H4:H32873,"=Dağıtım-AG",'[7]TABLO-1'!J4:J32873,"=Güvenlik",'[7]TABLO-1'!K4:K32873,"=Bildirimsiz",'[7]TABLO-1'!I4:I32873,"=Uzun",'[7]TABLO-1'!D4:D32873,"=UZUNKÖPRÜ")/P12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SUMIFS('[7]TABLO-1'!Q4:Q32873,'[7]TABLO-1'!H4:H32873,"=Dağıtım-AG",'[7]TABLO-1'!J4:J32873,"=Güvenlik",'[7]TABLO-1'!K4:K32873,"=Bildirimsiz",'[7]TABLO-1'!I4:I32873,"=Uzun",'[7]TABLO-1'!D4:D32873,"=UZUNKÖPRÜ")/P7</f>
        <v>0</v>
      </c>
      <c r="H40" s="10">
        <f>SUMIFS('[7]TABLO-1'!R4:R32873,'[7]TABLO-1'!H4:H32873,"=Dağıtım-AG",'[7]TABLO-1'!J4:J32873,"=Güvenlik",'[7]TABLO-1'!K4:K32873,"=Bildirimsiz",'[7]TABLO-1'!I4:I32873,"=Uzun",'[7]TABLO-1'!D4:D32873,"=UZUNKÖPRÜ")/P13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SUMIFS('[7]TABLO-1'!S4:S32873,'[7]TABLO-1'!H4:H32873,"=Dağıtım-AG",'[7]TABLO-1'!J4:J32873,"=Güvenlik",'[7]TABLO-1'!K4:K32873,"=Bildirimsiz",'[7]TABLO-1'!I4:I32873,"=Uzun",'[7]TABLO-1'!D4:D32873,"=UZUNKÖPRÜ")/P8</f>
        <v>0</v>
      </c>
      <c r="K40" s="10">
        <f>SUMIFS('[7]TABLO-1'!T4:T32873,'[7]TABLO-1'!H4:H32873,"=Dağıtım-AG",'[7]TABLO-1'!J4:J32873,"=Güvenlik",'[7]TABLO-1'!K4:K32873,"=bildirimsiz",'[7]TABLO-1'!I4:I32873,"=Uzun",'[7]TABLO-1'!D4:D32873,"=UZUNKÖPRÜ")/P14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0.66834170854271358</v>
      </c>
      <c r="E41" s="10">
        <f t="shared" ref="E41:M41" si="14">SUM(E31:E40)</f>
        <v>0.45552374711137172</v>
      </c>
      <c r="F41" s="10">
        <f t="shared" si="14"/>
        <v>0.45840563437787074</v>
      </c>
      <c r="G41" s="10">
        <f t="shared" si="14"/>
        <v>0.65</v>
      </c>
      <c r="H41" s="10">
        <f t="shared" si="14"/>
        <v>1.2935190144617033</v>
      </c>
      <c r="I41" s="10">
        <f t="shared" si="14"/>
        <v>1.2866984631690515</v>
      </c>
      <c r="J41" s="10">
        <f t="shared" si="14"/>
        <v>1.8544973544973544</v>
      </c>
      <c r="K41" s="10">
        <f t="shared" si="14"/>
        <v>2.3352318364366558</v>
      </c>
      <c r="L41" s="10">
        <f t="shared" si="14"/>
        <v>2.3223193348966102</v>
      </c>
      <c r="M41" s="10">
        <f t="shared" si="14"/>
        <v>1.0712663447333024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İşletmecisi",'[7]TABLO-1'!K4:K32873,"=Bildirimli",'[7]TABLO-1'!I4:I32873,"=Uzun",'[7]TABLO-1'!D4:D32873,"=UZUNKÖPRÜ")/P6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İşletmecisi",'[7]TABLO-1'!K4:K32873,"=Bildirimli",'[7]TABLO-1'!I4:I32873,"=Uzun",'[7]TABLO-1'!D4:D32873,"=UZUNKÖPRÜ")/P12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İşletmecisi",'[7]TABLO-1'!K4:K32873,"=Bildirimli",'[7]TABLO-1'!I4:I32873,"=Uzun",'[7]TABLO-1'!D4:D32873,"=UZUNKÖPRÜ")/P7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İşletmecisi",'[7]TABLO-1'!K4:K32873,"=Bildirimli",'[7]TABLO-1'!I4:I32873,"=Uzun",'[7]TABLO-1'!D4:D32873,"=UZUNKÖPRÜ")/P13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İşletmecisi",'[7]TABLO-1'!K4:K32873,"=Bildirimli",'[7]TABLO-1'!I4:I32873,"=Uzun",'[7]TABLO-1'!D4:D32873,"=UZUNKÖPRÜ")/P8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İşletmecisi",'[7]TABLO-1'!K4:K32873,"=bildirimli",'[7]TABLO-1'!I4:I32873,"=Uzun",'[7]TABLO-1'!D4:D32873,"=UZUNKÖPRÜ")/P14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İşletmecisi",'[7]TABLO-1'!K4:K32873,"=Bildirimli",'[7]TABLO-1'!I4:I32873,"=Uzun",'[7]TABLO-1'!D4:D32873,"=UZUNKÖPRÜ")/P6</f>
        <v>0.10804020100502512</v>
      </c>
      <c r="E47" s="10">
        <f>SUMIFS('[7]TABLO-1'!P4:P32873,'[7]TABLO-1'!H4:H32873,"=Dağıtım-OG",'[7]TABLO-1'!J4:J32873,"=Şebeke İşletmecisi",'[7]TABLO-1'!K4:K32873,"=Bildirimli",'[7]TABLO-1'!I4:I32873,"=Uzun",'[7]TABLO-1'!D4:D32873,"=UZUNKÖPRÜ")/P12</f>
        <v>1.7176559859276377E-2</v>
      </c>
      <c r="F47" s="10">
        <f t="shared" ref="F47:F50" si="15">IFERROR((((D47*$P$6)+(E47*$P$12))/$P$17),"0,00")</f>
        <v>1.8406995338709129E-2</v>
      </c>
      <c r="G47" s="10">
        <f>SUMIFS('[7]TABLO-1'!Q4:Q32873,'[7]TABLO-1'!H4:H32873,"=Dağıtım-OG",'[7]TABLO-1'!J4:J32873,"=Şebeke İşletmecisi",'[7]TABLO-1'!K4:K32873,"=Bildirimli",'[7]TABLO-1'!I4:I32873,"=Uzun",'[7]TABLO-1'!D4:D32873,"=UZUNKÖPRÜ")/P7</f>
        <v>0.1</v>
      </c>
      <c r="H47" s="10">
        <f>SUMIFS('[7]TABLO-1'!R4:R32873,'[7]TABLO-1'!H4:H32873,"=Dağıtım-OG",'[7]TABLO-1'!J4:J32873,"=Şebeke İşletmecisi",'[7]TABLO-1'!K4:K32873,"=Bildirimli",'[7]TABLO-1'!I4:I32873,"=Uzun",'[7]TABLO-1'!D4:D32873,"=UZUNKÖPRÜ")/P13</f>
        <v>6.427423674343867E-3</v>
      </c>
      <c r="I47" s="10">
        <f t="shared" ref="I47:I50" si="16">IFERROR((((G47*$P$7)+(H47*$P$13))/$P$20),"0,00")</f>
        <v>7.4191838897721251E-3</v>
      </c>
      <c r="J47" s="10">
        <f>SUMIFS('[7]TABLO-1'!S4:S32873,'[7]TABLO-1'!H4:H32873,"=Dağıtım-OG",'[7]TABLO-1'!J4:J32873,"=Şebeke İşletmecisi",'[7]TABLO-1'!K4:K32873,"=Bildirimli",'[7]TABLO-1'!I4:I32873,"=Uzun",'[7]TABLO-1'!D4:D32873,"=UZUNKÖPRÜ")/P8</f>
        <v>0.36243386243386244</v>
      </c>
      <c r="K47" s="10">
        <f>SUMIFS('[7]TABLO-1'!T4:T32873,'[7]TABLO-1'!H4:H32873,"=Dağıtım-OG",'[7]TABLO-1'!J4:J32873,"=Şebeke İşletmecisi",'[7]TABLO-1'!K4:K32873,"=bildirimli",'[7]TABLO-1'!I4:I32873,"=Uzun",'[7]TABLO-1'!D4:D32873,"=UZUNKÖPRÜ")/P14</f>
        <v>0.41219423147133988</v>
      </c>
      <c r="L47" s="10">
        <f t="shared" ref="L47:L50" si="17">IFERROR((((J47*$P$8)+(K47*$P$14))/$P$23),"0,00")</f>
        <v>0.41085767071697576</v>
      </c>
      <c r="M47" s="11">
        <f t="shared" ref="M47:M50" si="18">IFERROR((((F47*$P$17)+(I47*$P$20)+(L47*$P$23))/$P$26),"0,00")</f>
        <v>0.13973231020264162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SUMIFS('[7]TABLO-1'!O4:O32873,'[7]TABLO-1'!H4:H32873,"=Dağıtım-OG",'[7]TABLO-1'!J4:J32873,"=Güvenlik",'[7]TABLO-1'!K4:K32873,"=Bildirimli",'[7]TABLO-1'!I4:I32873,"=Uzun",'[7]TABLO-1'!D4:D32873,"=UZUNKÖPRÜ")/P6</f>
        <v>0</v>
      </c>
      <c r="E48" s="10">
        <f>SUMIFS('[7]TABLO-1'!P4:P32873,'[7]TABLO-1'!H4:H32873,"=Dağıtım-OG",'[7]TABLO-1'!J4:J32873,"=Güvenlik",'[7]TABLO-1'!K4:K32873,"=Bildirimli",'[7]TABLO-1'!I4:I32873,"=Uzun",'[7]TABLO-1'!D4:D32873,"=UZUNKÖPRÜ")/P12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SUMIFS('[7]TABLO-1'!Q4:Q32873,'[7]TABLO-1'!H4:H32873,"=Dağıtım-OG",'[7]TABLO-1'!J4:J32873,"=Güvenlik",'[7]TABLO-1'!K4:K32873,"=Bildirimli",'[7]TABLO-1'!I4:I32873,"=Uzun",'[7]TABLO-1'!D4:D32873,"=UZUNKÖPRÜ")/P7</f>
        <v>0</v>
      </c>
      <c r="H48" s="10">
        <f>SUMIFS('[7]TABLO-1'!R4:R32873,'[7]TABLO-1'!H4:H32873,"=Dağıtım-OG",'[7]TABLO-1'!J4:J32873,"=Güvenlik",'[7]TABLO-1'!K4:K32873,"=Bildirimli",'[7]TABLO-1'!I4:I32873,"=Uzun",'[7]TABLO-1'!D4:D32873,"=UZUNKÖPRÜ")/P13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SUMIFS('[7]TABLO-1'!S4:S32873,'[7]TABLO-1'!H4:H32873,"=Dağıtım-OG",'[7]TABLO-1'!J4:J32873,"=Güvenlik",'[7]TABLO-1'!K4:K32873,"=Bildirimli",'[7]TABLO-1'!I4:I32873,"=Uzun",'[7]TABLO-1'!D4:D32873,"=UZUNKÖPRÜ")/P8</f>
        <v>0</v>
      </c>
      <c r="K48" s="10">
        <f>SUMIFS('[7]TABLO-1'!T4:T32873,'[7]TABLO-1'!H4:H32873,"=Dağıtım-OG",'[7]TABLO-1'!J4:J32873,"=Güvenlik",'[7]TABLO-1'!K4:K32873,"=bildirimli",'[7]TABLO-1'!I4:I32873,"=Uzun",'[7]TABLO-1'!D4:D32873,"=UZUNKÖPRÜ")/P14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İşletmecisi",'[7]TABLO-1'!K4:K32873,"=Bildirimli",'[7]TABLO-1'!I4:I32873,"=Uzun",'[7]TABLO-1'!D4:D32873,"=UZUNKÖPRÜ")/P6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İşletmecisi",'[7]TABLO-1'!K4:K32873,"=Bildirimli",'[7]TABLO-1'!I4:I32873,"=Uzun",'[7]TABLO-1'!D4:D32873,"=UZUNKÖPRÜ")/P12</f>
        <v>0</v>
      </c>
      <c r="F49" s="10">
        <f t="shared" si="15"/>
        <v>0</v>
      </c>
      <c r="G49" s="12">
        <f>SUMIFS('[7]TABLO-1'!Q4:Q32873,'[7]TABLO-1'!H4:H32873,"=Dağıtım-AG",'[7]TABLO-1'!J4:J32873,"=Şebeke İşletmecisi",'[7]TABLO-1'!K4:K32873,"=Bildirimli",'[7]TABLO-1'!I4:I32873,"=Uzun",'[7]TABLO-1'!D4:D32873,"=UZUNKÖPRÜ")/P7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İşletmecisi",'[7]TABLO-1'!K4:K32873,"=Bildirimli",'[7]TABLO-1'!I4:I32873,"=Uzun",'[7]TABLO-1'!D4:D32873,"=UZUNKÖPRÜ")/P13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İşletmecisi",'[7]TABLO-1'!K4:K32873,"=Bildirimli",'[7]TABLO-1'!I4:I32873,"=Uzun",'[7]TABLO-1'!D4:D32873,"=UZUNKÖPRÜ")/P8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İşletmecisi",'[7]TABLO-1'!K4:K32873,"=bildirimli",'[7]TABLO-1'!I4:I32873,"=Uzun",'[7]TABLO-1'!D4:D32873,"=UZUNKÖPRÜ")/P14</f>
        <v>2.5264695144213218E-2</v>
      </c>
      <c r="L49" s="10">
        <f t="shared" si="17"/>
        <v>2.4586086832942514E-2</v>
      </c>
      <c r="M49" s="11">
        <f t="shared" si="18"/>
        <v>7.6293797270181474E-3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SUMIFS('[7]TABLO-1'!O4:O32873,'[7]TABLO-1'!H4:H32873,"=Dağıtım-AG",'[7]TABLO-1'!J4:J32873,"=Güvenlik",'[7]TABLO-1'!K4:K32873,"=Bildirimli",'[7]TABLO-1'!I4:I32873,"=Uzun",'[7]TABLO-1'!D4:D32873,"=UZUNKÖPRÜ")/P6</f>
        <v>0</v>
      </c>
      <c r="E50" s="10">
        <f>SUMIFS('[7]TABLO-1'!P4:P32873,'[7]TABLO-1'!H4:H32873,"=Dağıtım-AG",'[7]TABLO-1'!J4:J32873,"=Güvenlik",'[7]TABLO-1'!K4:K32873,"=Bildirimli",'[7]TABLO-1'!I4:I32873,"=Uzun",'[7]TABLO-1'!D4:D32873,"=UZUNKÖPRÜ")/P12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SUMIFS('[7]TABLO-1'!Q4:Q32873,'[7]TABLO-1'!H4:H32873,"=Dağıtım-AG",'[7]TABLO-1'!J4:J32873,"=Güvenlik",'[7]TABLO-1'!K4:K32873,"=Bildirimli",'[7]TABLO-1'!I4:I32873,"=Uzun",'[7]TABLO-1'!D4:D32873,"=UZUNKÖPRÜ")/P7</f>
        <v>0</v>
      </c>
      <c r="H50" s="10">
        <f>SUMIFS('[7]TABLO-1'!R4:R32873,'[7]TABLO-1'!H4:H32873,"=Dağıtım-AG",'[7]TABLO-1'!J4:J32873,"=Güvenlik",'[7]TABLO-1'!K4:K32873,"=Bildirimli",'[7]TABLO-1'!I4:I32873,"=Uzun",'[7]TABLO-1'!D4:D32873,"=UZUNKÖPRÜ")/P13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SUMIFS('[7]TABLO-1'!S4:S32873,'[7]TABLO-1'!H4:H32873,"=Dağıtım-AG",'[7]TABLO-1'!J4:J32873,"=Güvenlik",'[7]TABLO-1'!K4:K32873,"=Bildirimli",'[7]TABLO-1'!I4:I32873,"=Uzun",'[7]TABLO-1'!D4:D32873,"=UZUNKÖPRÜ")/P8</f>
        <v>0</v>
      </c>
      <c r="K50" s="10">
        <f>SUMIFS('[7]TABLO-1'!T4:T32873,'[7]TABLO-1'!H4:H32873,"=Dağıtım-AG",'[7]TABLO-1'!J4:J32873,"=Güvenlik",'[7]TABLO-1'!K4:K32873,"=bildirimli",'[7]TABLO-1'!I4:I32873,"=Uzun",'[7]TABLO-1'!D4:D32873,"=UZUNKÖPRÜ")/P14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0.10804020100502512</v>
      </c>
      <c r="E51" s="10">
        <f t="shared" ref="E51:M51" si="19">SUM(E46:E50)</f>
        <v>1.7176559859276377E-2</v>
      </c>
      <c r="F51" s="10">
        <f t="shared" si="19"/>
        <v>1.8406995338709129E-2</v>
      </c>
      <c r="G51" s="10">
        <f t="shared" si="19"/>
        <v>0.1</v>
      </c>
      <c r="H51" s="10">
        <f t="shared" si="19"/>
        <v>6.427423674343867E-3</v>
      </c>
      <c r="I51" s="10">
        <f t="shared" si="19"/>
        <v>7.4191838897721251E-3</v>
      </c>
      <c r="J51" s="10">
        <f t="shared" si="19"/>
        <v>0.36243386243386244</v>
      </c>
      <c r="K51" s="10">
        <f t="shared" si="19"/>
        <v>0.43745892661555308</v>
      </c>
      <c r="L51" s="10">
        <f t="shared" si="19"/>
        <v>0.43544375754991826</v>
      </c>
      <c r="M51" s="10">
        <f t="shared" si="19"/>
        <v>0.14736168992965978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SUMIFS('[7]TABLO-1'!O1:O32873,'[7]TABLO-1'!H1:H32873,"=İletim",'[7]TABLO-1'!K1:K32873,"=Bildirimsiz",'[7]TABLO-1'!I1:I32873,"=Kısa",'[7]TABLO-1'!D1:D32873,"=UZUNKÖPRÜ")/P6</f>
        <v>0</v>
      </c>
      <c r="D56" s="10">
        <f>SUMIFS('[7]TABLO-1'!P1:P32873,'[7]TABLO-1'!H1:H32873,"=İletim",'[7]TABLO-1'!K1:K32873,"=Bildirimsiz",'[7]TABLO-1'!I1:I32873,"=Kısa",'[7]TABLO-1'!D1:D32873,"=UZUNKÖPRÜ")/P12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SUMIFS('[7]TABLO-1'!Q1:Q32873,'[7]TABLO-1'!H1:H32873,"=İletim",'[7]TABLO-1'!K1:K32873,"=Bildirimsiz",'[7]TABLO-1'!I1:I32873,"=Kısa",'[7]TABLO-1'!D1:D32873,"=UZUNKÖPRÜ")/P7</f>
        <v>0</v>
      </c>
      <c r="G56" s="10">
        <f>SUMIFS('[7]TABLO-1'!R1:R32873,'[7]TABLO-1'!H1:H32873,"=İletim",'[7]TABLO-1'!K1:K32873,"=Bildirimsiz",'[7]TABLO-1'!I1:I32873,"=Kısa",'[7]TABLO-1'!D1:D32873,"=UZUNKÖPRÜ")/P13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SUMIFS('[7]TABLO-1'!S1:S32873,'[7]TABLO-1'!H1:H32873,"=İletim",'[7]TABLO-1'!K1:K32873,"=Bildirimsiz",'[7]TABLO-1'!I1:I32873,"=Kısa",'[7]TABLO-1'!D1:D32873,"=UZUNKÖPRÜ")/P8</f>
        <v>0</v>
      </c>
      <c r="J56" s="10">
        <f>SUMIFS('[7]TABLO-1'!T1:T32873,'[7]TABLO-1'!H1:H32873,"=İletim",'[7]TABLO-1'!K1:K32873,"=Bildirimsiz",'[7]TABLO-1'!I1:I32873,"=Kısa",'[7]TABLO-1'!D1:D32873,"=UZUNKÖPRÜ")/P14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SUMIFS('[7]TABLO-1'!O4:O32873,'[7]TABLO-1'!H4:H32873,"=Dağıtım-OG",'[7]TABLO-1'!K4:K32873,"=Bildirimsiz",'[7]TABLO-1'!I4:I32873,"=Kısa",'[7]TABLO-1'!D4:D32873,"=UZUNKÖPRÜ")/P6</f>
        <v>0.26381909547738691</v>
      </c>
      <c r="D57" s="10">
        <f>SUMIFS('[7]TABLO-1'!P4:P32873,'[7]TABLO-1'!H4:H32873,"=Dağıtım-OG",'[7]TABLO-1'!K4:K32873,"=Bildirimsiz",'[7]TABLO-1'!I4:I32873,"=Kısa",'[7]TABLO-1'!D4:D32873,"=UZUNKÖPRÜ")/P12</f>
        <v>4.4596971682819994E-2</v>
      </c>
      <c r="E57" s="10">
        <f>IFERROR((((C57*$P$6)+(D57*$P$12))/$P$17),"0,00")</f>
        <v>4.7565581300398084E-2</v>
      </c>
      <c r="F57" s="10">
        <f>SUMIFS('[7]TABLO-1'!Q4:Q32873,'[7]TABLO-1'!H4:H32873,"=Dağıtım-OG",'[7]TABLO-1'!K4:K32873,"=Bildirimsiz",'[7]TABLO-1'!I4:I32873,"=Kısa",'[7]TABLO-1'!D4:D32873,"=UZUNKÖPRÜ")/P7</f>
        <v>1</v>
      </c>
      <c r="G57" s="10">
        <f>SUMIFS('[7]TABLO-1'!R4:R32873,'[7]TABLO-1'!H4:H32873,"=Dağıtım-OG",'[7]TABLO-1'!K4:K32873,"=Bildirimsiz",'[7]TABLO-1'!I4:I32873,"=Kısa",'[7]TABLO-1'!D4:D32873,"=UZUNKÖPRÜ")/P13</f>
        <v>2.077664702731655</v>
      </c>
      <c r="H57" s="10">
        <f>IFERROR((((F57*$P$7)+(G57*$P$13))/$P$20),"0,00")</f>
        <v>2.0662427133015369</v>
      </c>
      <c r="I57" s="10">
        <f>SUMIFS('[7]TABLO-1'!S4:S32873,'[7]TABLO-1'!H4:H32873,"=Dağıtım-OG",'[7]TABLO-1'!K4:K32873,"=Bildirimsiz",'[7]TABLO-1'!I4:I32873,"=Kısa",'[7]TABLO-1'!D4:D32873,"=UZUNKÖPRÜ")/P8</f>
        <v>1.1984126984126984</v>
      </c>
      <c r="J57" s="10">
        <f>SUMIFS('[7]TABLO-1'!T4:T32873,'[7]TABLO-1'!H4:H32873,"=Dağıtım-OG",'[7]TABLO-1'!K4:K32873,"=Bildirimsiz",'[7]TABLO-1'!I4:I32873,"=Kısa",'[7]TABLO-1'!D4:D32873,"=UZUNKÖPRÜ")/P14</f>
        <v>1.0198612632347572</v>
      </c>
      <c r="K57" s="10">
        <f>IFERROR((((I57*$P$8)+(J57*$P$14))/$P$23),"0,00")</f>
        <v>1.0246571448873729</v>
      </c>
      <c r="L57" s="11">
        <f>IFERROR((((E57*$P$17)+(H57*$P$20)+(K57*$P$23))/$P$26),"0,00")</f>
        <v>0.43476439328790983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SUMIFS('[7]TABLO-1'!O4:O32873,'[7]TABLO-1'!H4:H32873,"=Dağıtım-AG",'[7]TABLO-1'!K4:K32873,"=Bildirimsiz",'[7]TABLO-1'!I4:I32873,"=Kısa",'[7]TABLO-1'!D4:D32873,"=UZUNKÖPRÜ")/P6</f>
        <v>0</v>
      </c>
      <c r="D58" s="10">
        <f>SUMIFS('[7]TABLO-1'!P4:P32873,'[7]TABLO-1'!H4:H32873,"=Dağıtım-AG",'[7]TABLO-1'!K4:K32873,"=Bildirimsiz",'[7]TABLO-1'!I4:I32873,"=Kısa",'[7]TABLO-1'!D4:D32873,"=UZUNKÖPRÜ")/P12</f>
        <v>7.0016900631186835E-3</v>
      </c>
      <c r="E58" s="10">
        <f>IFERROR((((C58*$P$6)+(D58*$P$12))/$P$17),"0,00")</f>
        <v>6.9068762546357727E-3</v>
      </c>
      <c r="F58" s="10">
        <f>SUMIFS('[7]TABLO-1'!Q4:Q32873,'[7]TABLO-1'!H4:H32873,"=Dağıtım-AG",'[7]TABLO-1'!K4:K32873,"=Bildirimsiz",'[7]TABLO-1'!I4:I32873,"=Kısa",'[7]TABLO-1'!D4:D32873,"=UZUNKÖPRÜ")/P7</f>
        <v>0</v>
      </c>
      <c r="G58" s="10">
        <f>SUMIFS('[7]TABLO-1'!R4:R32873,'[7]TABLO-1'!H4:H32873,"=Dağıtım-AG",'[7]TABLO-1'!K4:K32873,"=Bildirimsiz",'[7]TABLO-1'!I4:I32873,"=Kısa",'[7]TABLO-1'!D4:D32873,"=UZUNKÖPRÜ")/P13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SUMIFS('[7]TABLO-1'!S4:S32873,'[7]TABLO-1'!H4:H32873,"=Dağıtım-AG",'[7]TABLO-1'!K4:K32873,"=Bildirimsiz",'[7]TABLO-1'!I4:I32873,"=Kısa",'[7]TABLO-1'!D4:D32873,"=UZUNKÖPRÜ")/P8</f>
        <v>0</v>
      </c>
      <c r="J58" s="10">
        <f>SUMIFS('[7]TABLO-1'!T4:T32873,'[7]TABLO-1'!H4:H32873,"=Dağıtım-AG",'[7]TABLO-1'!K4:K32873,"=Bildirimsiz",'[7]TABLO-1'!I4:I32873,"=Kısa",'[7]TABLO-1'!D4:D32873,"=UZUNKÖPRÜ")/P14</f>
        <v>4.6002190580503831E-3</v>
      </c>
      <c r="K58" s="10">
        <f>IFERROR((((I58*$P$8)+(J58*$P$14))/$P$23),"0,00")</f>
        <v>4.4766574291195899E-3</v>
      </c>
      <c r="L58" s="11">
        <f>IFERROR((((E58*$P$17)+(H58*$P$20)+(K58*$P$23))/$P$26),"0,00")</f>
        <v>5.8653612930255122E-3</v>
      </c>
    </row>
    <row r="59" spans="2:13" ht="15" customHeight="1" thickBot="1" x14ac:dyDescent="0.3">
      <c r="B59" s="30" t="s">
        <v>20</v>
      </c>
      <c r="C59" s="10">
        <f t="shared" ref="C59:L59" si="20">SUM(C56:C58)</f>
        <v>0.26381909547738691</v>
      </c>
      <c r="D59" s="10">
        <f t="shared" si="20"/>
        <v>5.1598661745938676E-2</v>
      </c>
      <c r="E59" s="10">
        <f t="shared" si="20"/>
        <v>5.4472457555033854E-2</v>
      </c>
      <c r="F59" s="10">
        <f t="shared" si="20"/>
        <v>1</v>
      </c>
      <c r="G59" s="10">
        <f t="shared" si="20"/>
        <v>2.077664702731655</v>
      </c>
      <c r="H59" s="10">
        <f t="shared" si="20"/>
        <v>2.0662427133015369</v>
      </c>
      <c r="I59" s="10">
        <f t="shared" si="20"/>
        <v>1.1984126984126984</v>
      </c>
      <c r="J59" s="10">
        <f t="shared" si="20"/>
        <v>1.0244614822928075</v>
      </c>
      <c r="K59" s="10">
        <f t="shared" si="20"/>
        <v>1.0291338023164924</v>
      </c>
      <c r="L59" s="10">
        <f t="shared" si="20"/>
        <v>0.44062975458093534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398</v>
      </c>
      <c r="D65" s="27">
        <f>P12</f>
        <v>28993</v>
      </c>
      <c r="E65" s="27">
        <f>C65+D65</f>
        <v>29391</v>
      </c>
      <c r="F65" s="17">
        <f>P7</f>
        <v>20</v>
      </c>
      <c r="G65" s="27">
        <f>P13</f>
        <v>1867</v>
      </c>
      <c r="H65" s="17">
        <f>SUM(F65:G65)</f>
        <v>1887</v>
      </c>
      <c r="I65" s="17">
        <f>P8</f>
        <v>378</v>
      </c>
      <c r="J65" s="27">
        <f>P14</f>
        <v>13695</v>
      </c>
      <c r="K65" s="17">
        <f>SUM(I65:J65)</f>
        <v>14073</v>
      </c>
      <c r="L65" s="17">
        <f>H65+E65+K65</f>
        <v>45351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Q71"/>
  <sheetViews>
    <sheetView zoomScale="70" zoomScaleNormal="70" workbookViewId="0">
      <selection activeCell="L69" sqref="L6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İşletmecisi",'[7]TABLO-1'!K4:K32873,"=Bildirimsiz",'[7]TABLO-1'!I4:I32873,"=Uzun",'[7]TABLO-1'!D4:D32873,"=MERİÇ")/P6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İşletmecisi",'[7]TABLO-1'!K4:K32873,"=Bildirimsiz",'[7]TABLO-1'!I4:I32873,"=Uzun",'[7]TABLO-1'!D4:D32873,"=MERİÇ")/P12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İşletmecisi",'[7]TABLO-1'!K4:K32873,"=Bildirimsiz",'[7]TABLO-1'!I4:I32873,"=Uzun",'[7]TABLO-1'!D4:D32873,"=MERİÇ")/P7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İşletmecisi",'[7]TABLO-1'!K4:K32873,"=Bildirimsiz",'[7]TABLO-1'!I4:I32873,"=Uzun",'[7]TABLO-1'!D4:D32873,"=MERİÇ")/P13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İşletmecisi",'[7]TABLO-1'!K4:K32873,"=Bildirimsiz",'[7]TABLO-1'!I4:I32873,"=Uzun",'[7]TABLO-1'!D4:D32873,"=MERİÇ")/P8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İşletmecisi",'[7]TABLO-1'!K4:K32873,"=Bildirimsiz",'[7]TABLO-1'!I4:I32873,"=Uzun",'[7]TABLO-1'!D4:D32873,"=MERİÇ")/P14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Sebep",'[7]TABLO-1'!K4:K32873,"=Bildirimsiz",'[7]TABLO-1'!I4:I32873,"=Uzun",'[7]TABLO-1'!D4:D32873,"=MERİÇ")/P6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Sebep",'[7]TABLO-1'!K4:K32873,"=Bildirimsiz",'[7]TABLO-1'!I4:I32873,"=Uzun",'[7]TABLO-1'!D4:D32873,"=MERİÇ")/P12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Sebep",'[7]TABLO-1'!K4:K32873,"=Bildirimsiz",'[7]TABLO-1'!I4:I32873,"=Uzun",'[7]TABLO-1'!D4:D32873,"=MERİÇ")/P7</f>
        <v>0</v>
      </c>
      <c r="H7" s="10">
        <f>SUMIFS('[7]TABLO-1'!X4:X32873,'[7]TABLO-1'!H4:H32873,"=İletim",'[7]TABLO-1'!J4:J32873,"=Mücbir Sebep",'[7]TABLO-1'!K4:K32873,"=Bildirimsiz",'[7]TABLO-1'!I4:I32873,"=Uzun",'[7]TABLO-1'!D4:D32873,"=MERİÇ")/P13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Sebep",'[7]TABLO-1'!K4:K32873,"=Bildirimsiz",'[7]TABLO-1'!I4:I32873,"=Uzun",'[7]TABLO-1'!D4:D32873,"=MERİÇ")/P8</f>
        <v>0</v>
      </c>
      <c r="K7" s="10">
        <f>SUMIFS('[7]TABLO-1'!Z4:Z32873,'[7]TABLO-1'!H4:H32873,"=İletim",'[7]TABLO-1'!J4:J32873,"=Mücbir Sebep",'[7]TABLO-1'!K4:K32873,"=Bildirimsiz",'[7]TABLO-1'!I4:I32873,"=Uzun",'[7]TABLO-1'!D4:D32873,"=MERİÇ")/P14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56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İşletmecisi",'[7]TABLO-1'!K4:K32873,"=Bildirimsiz",'[7]TABLO-1'!I4:I32873,"=Uzun",'[7]TABLO-1'!D4:D32873,"=MERİÇ")/P6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İşletmecisi",'[7]TABLO-1'!K4:K32873,"=Bildirimsiz",'[7]TABLO-1'!I4:I32873,"=Uzun",'[7]TABLO-1'!D4:D32873,"=MERİÇ")/P12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İşletmecisi",'[7]TABLO-1'!K4:K32873,"=Bildirimsiz",'[7]TABLO-1'!I4:I32873,"=Uzun",'[7]TABLO-1'!D4:D32873,"=MERİÇ")/P7</f>
        <v>2.5916666672440312</v>
      </c>
      <c r="H8" s="10">
        <f>SUMIFS('[7]TABLO-1'!X4:X32873,'[7]TABLO-1'!H4:H32873,"=Dağıtım-OG",'[7]TABLO-1'!J4:J32873,"=Şebeke İşletmecisi",'[7]TABLO-1'!K4:K32873,"=Bildirimsiz",'[7]TABLO-1'!I4:I32873,"=Uzun",'[7]TABLO-1'!D4:D32873,"=MERİÇ")/P13</f>
        <v>37.038602620836521</v>
      </c>
      <c r="I8" s="10">
        <f t="shared" si="1"/>
        <v>36.622505033821596</v>
      </c>
      <c r="J8" s="10">
        <f>SUMIFS('[7]TABLO-1'!Y4:Y32873,'[7]TABLO-1'!H4:H32873,"=Dağıtım-OG",'[7]TABLO-1'!J4:J32873,"=Şebeke İşletmecisi",'[7]TABLO-1'!K4:K32873,"=Bildirimsiz",'[7]TABLO-1'!I4:I32873,"=Uzun",'[7]TABLO-1'!D4:D32873,"=MERİÇ")/P8</f>
        <v>37.200453515920067</v>
      </c>
      <c r="K8" s="10">
        <f>SUMIFS('[7]TABLO-1'!Z4:Z32873,'[7]TABLO-1'!H4:H32873,"=Dağıtım-OG",'[7]TABLO-1'!J4:J32873,"=Şebeke İşletmecisi",'[7]TABLO-1'!K4:K32873,"=Bildirimsiz",'[7]TABLO-1'!I4:I32873,"=Uzun",'[7]TABLO-1'!D4:D32873,"=MERİÇ")/P14</f>
        <v>53.182670882608988</v>
      </c>
      <c r="L8" s="10">
        <f t="shared" si="2"/>
        <v>52.717722148608736</v>
      </c>
      <c r="M8" s="11">
        <f t="shared" si="3"/>
        <v>45.016470570101859</v>
      </c>
      <c r="O8" s="20" t="s">
        <v>36</v>
      </c>
      <c r="P8" s="53">
        <v>147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SUMIFS('[7]TABLO-1'!U4:U32873,'[7]TABLO-1'!H4:H32873,"=Dağıtım-OG",'[7]TABLO-1'!J4:J32873,"=Dışsal",'[7]TABLO-1'!K4:K32873,"=Bildirimsiz",'[7]TABLO-1'!I4:I32873,"=Uzun",'[7]TABLO-1'!D4:D32873,"=MERİÇ")/P6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SUMIFS('[7]TABLO-1'!V4:V32873,'[7]TABLO-1'!H4:H32873,"=Dağıtım-OG",'[7]TABLO-1'!J4:J32873,"=Dışsal",'[7]TABLO-1'!K4:K32873,"=Bildirimsiz",'[7]TABLO-1'!I4:I32873,"=Uzun",'[7]TABLO-1'!D4:D32873,"=MERİÇ")/P12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SUMIFS('[7]TABLO-1'!W4:W32873,'[7]TABLO-1'!H4:H32873,"=Dağıtım-OG",'[7]TABLO-1'!J4:J32873,"=Dışsal",'[7]TABLO-1'!K4:K32873,"=Bildirimsiz",'[7]TABLO-1'!I4:I32873,"=Uzun",'[7]TABLO-1'!D4:D32873,"=MERİÇ")/P7</f>
        <v>0</v>
      </c>
      <c r="H9" s="10">
        <f>SUMIFS('[7]TABLO-1'!X4:X32873,'[7]TABLO-1'!H4:H32873,"=Dağıtım-OG",'[7]TABLO-1'!J4:J32873,"=Dışsal",'[7]TABLO-1'!K4:K32873,"=Bildirimsiz",'[7]TABLO-1'!I4:I32873,"=Uzun",'[7]TABLO-1'!D4:D32873,"=MERİÇ")/P13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SUMIFS('[7]TABLO-1'!Y4:Y32873,'[7]TABLO-1'!H4:H32873,"=Dağıtım-OG",'[7]TABLO-1'!J4:J32873,"=Dışsal",'[7]TABLO-1'!K4:K32873,"=Bildirimsiz",'[7]TABLO-1'!I4:I32873,"=Uzun",'[7]TABLO-1'!D4:D32873,"=MERİÇ")/P8</f>
        <v>0</v>
      </c>
      <c r="K9" s="10">
        <f>SUMIFS('[7]TABLO-1'!Z4:Z32873,'[7]TABLO-1'!H4:H32873,"=Dağıtım-OG",'[7]TABLO-1'!J4:J32873,"=Dışsal",'[7]TABLO-1'!K4:K32873,"=Bildirimsiz",'[7]TABLO-1'!I4:I32873,"=Uzun",'[7]TABLO-1'!D4:D32873,"=MERİÇ")/P14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203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Sebep",'[7]TABLO-1'!K4:K32873,"=Bildirimsiz",'[7]TABLO-1'!I4:I32873,"=Uzun",'[7]TABLO-1'!D4:D32873,"=MERİÇ")/P6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Sebep",'[7]TABLO-1'!K4:K32873,"=Bildirimsiz",'[7]TABLO-1'!I4:I32873,"=Uzun",'[7]TABLO-1'!D4:D32873,"=MERİÇ")/P12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Sebep",'[7]TABLO-1'!K4:K32873,"=Bildirimsiz",'[7]TABLO-1'!I4:I32873,"=Uzun",'[7]TABLO-1'!D4:D32873,"=MERİÇ")/P7</f>
        <v>0</v>
      </c>
      <c r="H10" s="10">
        <f>SUMIFS('[7]TABLO-1'!X4:X32873,'[7]TABLO-1'!H4:H32873,"=Dağıtım-OG",'[7]TABLO-1'!J4:J32873,"=Mücbir Sebep",'[7]TABLO-1'!K4:K32873,"=Bildirimsiz",'[7]TABLO-1'!I4:I32873,"=Uzun",'[7]TABLO-1'!D4:D32873,"=MERİÇ")/P13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Sebep",'[7]TABLO-1'!K4:K32873,"=Bildirimsiz",'[7]TABLO-1'!I4:I32873,"=Uzun",'[7]TABLO-1'!D4:D32873,"=MERİÇ")/P8</f>
        <v>0</v>
      </c>
      <c r="K10" s="10">
        <f>SUMIFS('[7]TABLO-1'!Z4:Z32873,'[7]TABLO-1'!H4:H32873,"=Dağıtım-OG",'[7]TABLO-1'!J4:J32873,"=Mücbir Sebep",'[7]TABLO-1'!K4:K32873,"=Bildirimsiz",'[7]TABLO-1'!I4:I32873,"=Uzun",'[7]TABLO-1'!D4:D32873,"=MERİÇ")/P14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SUMIFS('[7]TABLO-1'!U4:U32873,'[7]TABLO-1'!H4:H32873,"=Dağıtım-OG",'[7]TABLO-1'!J4:J32873,"=Güvenlik",'[7]TABLO-1'!K4:K32873,"=Bildirimsiz",'[7]TABLO-1'!I4:I32873,"=Uzun",'[7]TABLO-1'!D4:D32873,"=MERİÇ")/P6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SUMIFS('[7]TABLO-1'!V4:V32873,'[7]TABLO-1'!H4:H32873,"=Dağıtım-OG",'[7]TABLO-1'!J4:J32873,"=Güvenlik",'[7]TABLO-1'!K4:K32873,"=Bildirimsiz",'[7]TABLO-1'!I4:I32873,"=Uzun",'[7]TABLO-1'!D4:D32873,"=MERİÇ")/P12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SUMIFS('[7]TABLO-1'!W4:W32873,'[7]TABLO-1'!H4:H32873,"=Dağıtım-OG",'[7]TABLO-1'!J4:J32873,"=Güvenlik",'[7]TABLO-1'!K4:K32873,"=Bildirimsiz",'[7]TABLO-1'!I4:I32873,"=Uzun",'[7]TABLO-1'!D4:D32873,"=MERİÇ")/P7</f>
        <v>0</v>
      </c>
      <c r="H11" s="10">
        <f>SUMIFS('[7]TABLO-1'!X4:X32873,'[7]TABLO-1'!H4:H32873,"=Dağıtım-OG",'[7]TABLO-1'!J4:J32873,"=Güvenlik",'[7]TABLO-1'!K4:K32873,"=Bildirimsiz",'[7]TABLO-1'!I4:I32873,"=Uzun",'[7]TABLO-1'!D4:D32873,"=MERİÇ")/P13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SUMIFS('[7]TABLO-1'!Y4:Y32873,'[7]TABLO-1'!H4:H32873,"=Dağıtım-OG",'[7]TABLO-1'!J4:J32873,"=Güvenlik",'[7]TABLO-1'!K4:K32873,"=Bildirimsiz",'[7]TABLO-1'!I4:I32873,"=Uzun",'[7]TABLO-1'!D4:D32873,"=MERİÇ")/P8</f>
        <v>0</v>
      </c>
      <c r="K11" s="10">
        <f>SUMIFS('[7]TABLO-1'!Z4:Z32873,'[7]TABLO-1'!H4:H32873,"=Dağıtım-OG",'[7]TABLO-1'!J4:J32873,"=Güvenlik",'[7]TABLO-1'!K4:K32873,"=Bildirimsiz",'[7]TABLO-1'!I4:I32873,"=Uzun",'[7]TABLO-1'!D4:D32873,"=MERİÇ")/P14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İşletmecisi",'[7]TABLO-1'!K4:K32873,"=Bildirimsiz",'[7]TABLO-1'!I4:I32873,"=Uzun",'[7]TABLO-1'!D4:D32873,"=MERİÇ")/P6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işletmecisi",'[7]TABLO-1'!K4:K32873,"=Bildirimsiz",'[7]TABLO-1'!I4:I32873,"=Uzun",'[7]TABLO-1'!D4:D32873,"=MERİÇ")/P12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İşletmecisi",'[7]TABLO-1'!K4:K32873,"=Bildirimsiz",'[7]TABLO-1'!I4:I32873,"=Uzun",'[7]TABLO-1'!D4:D32873,"=MERİÇ")/P7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İşletmecisi",'[7]TABLO-1'!K4:K32873,"=Bildirimsiz",'[7]TABLO-1'!I4:I32873,"=Uzun",'[7]TABLO-1'!D4:D32873,"=MERİÇ")/P13</f>
        <v>2.2614737990315836</v>
      </c>
      <c r="I12" s="10">
        <f t="shared" si="1"/>
        <v>2.2341566004237818</v>
      </c>
      <c r="J12" s="12">
        <f>SUMIFS('[7]TABLO-1'!Y4:Y32873,'[7]TABLO-1'!H4:H32873,"=Dağıtım-AG",'[7]TABLO-1'!J4:J32873,"=Şebeke İşletmecisi",'[7]TABLO-1'!K4:K32873,"=Bildirimsiz",'[7]TABLO-1'!I4:I32873,"=Uzun",'[7]TABLO-1'!D4:D32873,"=MERİÇ")/P8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İşletmecisi",'[7]TABLO-1'!K4:K32873,"=Bildirimsiz",'[7]TABLO-1'!I4:I32873,"=Uzun",'[7]TABLO-1'!D4:D32873,"=MERİÇ")/P14</f>
        <v>8.0925703219031693</v>
      </c>
      <c r="L12" s="10">
        <f t="shared" si="2"/>
        <v>7.8571442705832082</v>
      </c>
      <c r="M12" s="11">
        <f t="shared" si="3"/>
        <v>5.1666529052349679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SUMIFS('[7]TABLO-1'!U4:U32873,'[7]TABLO-1'!H4:H32873,"=Dağıtım-AG",'[7]TABLO-1'!J4:J32873,"=Dışsal",'[7]TABLO-1'!K4:K32873,"=Bildirimsiz",'[7]TABLO-1'!I4:I32873,"=Uzun",'[7]TABLO-1'!D4:D32873,"=MERİÇ")/P6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SUMIFS('[7]TABLO-1'!V4:V32873,'[7]TABLO-1'!H4:H32873,"=Dağıtım-AG",'[7]TABLO-1'!J4:J32873,"=Dışsal",'[7]TABLO-1'!K4:K32873,"=Bildirimsiz",'[7]TABLO-1'!I4:I32873,"=Uzun",'[7]TABLO-1'!D4:D32873,"=MERİÇ")/P12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SUMIFS('[7]TABLO-1'!W4:W32873,'[7]TABLO-1'!H4:H32873,"=Dağıtım-AG",'[7]TABLO-1'!J4:J32873,"=Dışsal",'[7]TABLO-1'!K4:K32873,"=Bildirimsiz",'[7]TABLO-1'!I4:I32873,"=Uzun",'[7]TABLO-1'!D4:D32873,"=MERİÇ")/P7</f>
        <v>0</v>
      </c>
      <c r="H13" s="10">
        <f>SUMIFS('[7]TABLO-1'!X4:X32873,'[7]TABLO-1'!H4:H32873,"=Dağıtım-AG",'[7]TABLO-1'!J4:J32873,"=Dışsal",'[7]TABLO-1'!K4:K32873,"=Bildirimsiz",'[7]TABLO-1'!I4:I32873,"=Uzun",'[7]TABLO-1'!D4:D32873,"=MERİÇ")/P13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SUMIFS('[7]TABLO-1'!Y4:Y32873,'[7]TABLO-1'!H4:H32873,"=Dağıtım-AG",'[7]TABLO-1'!J4:J32873,"=Dışsal",'[7]TABLO-1'!K4:K32873,"=Bildirimsiz",'[7]TABLO-1'!I4:I32873,"=Uzun",'[7]TABLO-1'!D4:D32873,"=MERİÇ")/P8</f>
        <v>0</v>
      </c>
      <c r="K13" s="10">
        <f>SUMIFS('[7]TABLO-1'!Z4:Z32873,'[7]TABLO-1'!H4:H32873,"=Dağıtım-AG",'[7]TABLO-1'!J4:J32873,"=Dışsal",'[7]TABLO-1'!K4:K32873,"=Bildirimsiz",'[7]TABLO-1'!I4:I32873,"=Uzun",'[7]TABLO-1'!D4:D32873,"=MERİÇ")/P14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4580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Sebep",'[7]TABLO-1'!K4:K32873,"=Bildirimsiz",'[7]TABLO-1'!I4:I32873,"=Uzun",'[7]TABLO-1'!D4:D32873,"=MERİÇ")/P6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Sebep",'[7]TABLO-1'!K4:K32873,"=Bildirimsiz",'[7]TABLO-1'!I4:I32873,"=Uzun",'[7]TABLO-1'!D4:D32873,"=MERİÇ")/P12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Sebep",'[7]TABLO-1'!K4:K32873,"=Bildirimsiz",'[7]TABLO-1'!I4:I32873,"=Uzun",'[7]TABLO-1'!D4:D32873,"=MERİÇ")/P7</f>
        <v>0</v>
      </c>
      <c r="H14" s="10">
        <f>SUMIFS('[7]TABLO-1'!X4:X32873,'[7]TABLO-1'!H4:H32873,"=Dağıtım-AG",'[7]TABLO-1'!J4:J32873,"=Mücbir Sebep",'[7]TABLO-1'!K4:K32873,"=Bildirimsiz",'[7]TABLO-1'!I4:I32873,"=Uzun",'[7]TABLO-1'!D4:D32873,"=MERİÇ")/P13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Sebep",'[7]TABLO-1'!K4:K32873,"=Bildirimsiz",'[7]TABLO-1'!I4:I32873,"=Uzun",'[7]TABLO-1'!D4:D32873,"=MERİÇ")/P8</f>
        <v>0</v>
      </c>
      <c r="K14" s="10">
        <f>SUMIFS('[7]TABLO-1'!Z4:Z32873,'[7]TABLO-1'!H4:H32873,"=Dağıtım-AG",'[7]TABLO-1'!J4:J32873,"=Mücbir Sebep",'[7]TABLO-1'!K4:K32873,"=Bildirimsiz",'[7]TABLO-1'!I4:I32873,"=Uzun",'[7]TABLO-1'!D4:D32873,"=MERİÇ")/P14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4906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SUMIFS('[7]TABLO-1'!U4:U32873,'[7]TABLO-1'!H4:H32873,"=Dağıtım-AG",'[7]TABLO-1'!J4:J32873,"=Güvenlik",'[7]TABLO-1'!K4:K32873,"=Bildirimsiz",'[7]TABLO-1'!I4:I32873,"=Uzun",'[7]TABLO-1'!D4:D32873,"=MERİÇ")/P6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SUMIFS('[7]TABLO-1'!V4:V32873,'[7]TABLO-1'!H4:H32873,"=Dağıtım-AG",'[7]TABLO-1'!J4:J32873,"=Güvenlik",'[7]TABLO-1'!K4:K32873,"=Bildirimsiz",'[7]TABLO-1'!I4:I32873,"=Uzun",'[7]TABLO-1'!D4:D32873,"=MERİÇ")/P12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SUMIFS('[7]TABLO-1'!W4:W32873,'[7]TABLO-1'!H4:H32873,"=Dağıtım-AG",'[7]TABLO-1'!J4:J32873,"=Güvenlik",'[7]TABLO-1'!K4:K32873,"=Bildirimsiz",'[7]TABLO-1'!I4:I32873,"=Uzun",'[7]TABLO-1'!D4:D32873,"=MERİÇ")/P7</f>
        <v>0</v>
      </c>
      <c r="H15" s="10">
        <f>SUMIFS('[7]TABLO-1'!X4:X32873,'[7]TABLO-1'!H4:H32873,"=Dağıtım-AG",'[7]TABLO-1'!J4:J32873,"=Güvenlik",'[7]TABLO-1'!K4:K32873,"=Bildirimsiz",'[7]TABLO-1'!I4:I32873,"=Uzun",'[7]TABLO-1'!D4:D32873,"=MERİÇ")/P13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SUMIFS('[7]TABLO-1'!Y4:Y32873,'[7]TABLO-1'!H4:H32873,"=Dağıtım-AG",'[7]TABLO-1'!J4:J32873,"=Güvenlik",'[7]TABLO-1'!K4:K32873,"=Bildirimsiz",'[7]TABLO-1'!I4:I32873,"=Uzun",'[7]TABLO-1'!D4:D32873,"=MERİÇ")/P8</f>
        <v>0</v>
      </c>
      <c r="K15" s="10">
        <f>SUMIFS('[7]TABLO-1'!Z4:Z32873,'[7]TABLO-1'!H4:H32873,"=Dağıtım-AG",'[7]TABLO-1'!J4:J32873,"=Güvenlik",'[7]TABLO-1'!K4:K32873,"=Bildirimsiz",'[7]TABLO-1'!I4:I32873,"=Uzun",'[7]TABLO-1'!D4:D32873,"=MERİÇ")/P14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9486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2.5916666672440312</v>
      </c>
      <c r="H16" s="10">
        <f t="shared" si="4"/>
        <v>39.300076419868105</v>
      </c>
      <c r="I16" s="10">
        <f t="shared" si="4"/>
        <v>38.856661634245377</v>
      </c>
      <c r="J16" s="10">
        <f>SUM(J6:J15)</f>
        <v>37.200453515920067</v>
      </c>
      <c r="K16" s="10">
        <f>SUM(K6:K15)</f>
        <v>61.275241204512156</v>
      </c>
      <c r="L16" s="10">
        <f>SUM(L6:L15)</f>
        <v>60.574866419191942</v>
      </c>
      <c r="M16" s="11">
        <f t="shared" si="4"/>
        <v>50.183123475336828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4636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İşletmecisi",'[7]TABLO-1'!K4:K32873,"=Bildirimli",'[7]TABLO-1'!I4:I32873,"=Uzun",'[7]TABLO-1'!D4:D32873,"=MERİÇ")/P6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İşletmecisi",'[7]TABLO-1'!K4:K32873,"=Bildirimli",'[7]TABLO-1'!I4:I32873,"=Uzun",'[7]TABLO-1'!D4:D32873,"=MERİÇ")/P12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İşletmecisi",'[7]TABLO-1'!K4:K32873,"=Bildirimli",'[7]TABLO-1'!I4:I32873,"=Uzun",'[7]TABLO-1'!D4:D32873,"=MERİÇ")/P7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İşletmecisi",'[7]TABLO-1'!K4:K32873,"=Bildirimli",'[7]TABLO-1'!I4:I32873,"=Uzun",'[7]TABLO-1'!D4:D32873,"=MERİÇ")/P13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İşletmecisi",'[7]TABLO-1'!K4:K32873,"=Bildirimli",'[7]TABLO-1'!I4:I32873,"=Uzun",'[7]TABLO-1'!D4:D32873,"=MERİÇ")/P8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İşletmecisi",'[7]TABLO-1'!K4:K32873,"=Bildirimli",'[7]TABLO-1'!I4:I32873,"=Uzun",'[7]TABLO-1'!D4:D32873,"=MERİÇ")/P14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İşletmecisi",'[7]TABLO-1'!K4:K32873,"=Bildirimli",'[7]TABLO-1'!I4:I32873,"=Uzun",'[7]TABLO-1'!D4:D32873,"=MERİÇ")/P6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İşletmecisi",'[7]TABLO-1'!K4:K32873,"=Bildirimli",'[7]TABLO-1'!I4:I32873,"=Uzun",'[7]TABLO-1'!D4:D32873,"=MERİÇ")/P12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İşletmecisi",'[7]TABLO-1'!K4:K32873,"=Bildirimli",'[7]TABLO-1'!I4:I32873,"=Uzun",'[7]TABLO-1'!D4:D32873,"=MERİÇ")/P7</f>
        <v>27.350892857107933</v>
      </c>
      <c r="H22" s="10">
        <f>SUMIFS('[7]TABLO-1'!X4:X32873,'[7]TABLO-1'!H4:H32873,"=Dağıtım-OG",'[7]TABLO-1'!J4:J32873,"=Şebeke İşletmecisi",'[7]TABLO-1'!K4:K32873,"=Bildirimli",'[7]TABLO-1'!I4:I32873,"=Uzun",'[7]TABLO-1'!D4:D32873,"=MERİÇ")/P13</f>
        <v>67.020054585063235</v>
      </c>
      <c r="I22" s="10">
        <f t="shared" ref="I22:I25" si="6">IFERROR((((G22*$P$7)+(H22*$P$13))/$P$20),"0,00")</f>
        <v>66.540875754872232</v>
      </c>
      <c r="J22" s="10">
        <f>SUMIFS('[7]TABLO-1'!Y4:Y32873,'[7]TABLO-1'!H4:H32873,"=Dağıtım-OG",'[7]TABLO-1'!J4:J32873,"=Şebeke İşletmecisi",'[7]TABLO-1'!K4:K32873,"=Bildirimli",'[7]TABLO-1'!I4:I32873,"=Uzun",'[7]TABLO-1'!D4:D32873,"=MERİÇ")/P8</f>
        <v>2.6431972789102973</v>
      </c>
      <c r="K22" s="10">
        <f>SUMIFS('[7]TABLO-1'!Z4:Z32873,'[7]TABLO-1'!H4:H32873,"=Dağıtım-OG",'[7]TABLO-1'!J4:J32873,"=Şebeke İşletmecisi",'[7]TABLO-1'!K4:K32873,"=Bildirimli",'[7]TABLO-1'!I4:I32873,"=Uzun",'[7]TABLO-1'!D4:D32873,"=MERİÇ")/P14</f>
        <v>0.38680187525410664</v>
      </c>
      <c r="L22" s="10">
        <f t="shared" ref="L22:L25" si="7">IFERROR((((J22*$P$8)+(K22*$P$14))/$P$23),"0,00")</f>
        <v>0.4524440926175462</v>
      </c>
      <c r="M22" s="11">
        <f t="shared" ref="M22:M25" si="8">IFERROR((((F22*$P$17)+(I22*$P$20)+(L22*$P$23))/$P$26),"0,00")</f>
        <v>32.074486531074839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SUMIFS('[7]TABLO-1'!U4:U32873,'[7]TABLO-1'!H4:H32873,"=Dağıtım-OG",'[7]TABLO-1'!J4:J32873,"=Güvenlik",'[7]TABLO-1'!K4:K32873,"=Bildirimli",'[7]TABLO-1'!I4:I32873,"=Uzun",'[7]TABLO-1'!D4:D32873,"=MERİÇ")/P6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SUMIFS('[7]TABLO-1'!V4:V32873,'[7]TABLO-1'!H4:H32873,"=Dağıtım-OG",'[7]TABLO-1'!J4:J32873,"=Güvenlik",'[7]TABLO-1'!K4:K32873,"=Bildirimli",'[7]TABLO-1'!I4:I32873,"=Uzun",'[7]TABLO-1'!D4:D32873,"=MERİÇ")/P12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SUMIFS('[7]TABLO-1'!W4:W32873,'[7]TABLO-1'!H4:H32873,"=Dağıtım-OG",'[7]TABLO-1'!J4:J32873,"=Güvenlik",'[7]TABLO-1'!K4:K32873,"=Bildirimli",'[7]TABLO-1'!I4:I32873,"=Uzun",'[7]TABLO-1'!D4:D32873,"=MERİÇ")/P7</f>
        <v>0</v>
      </c>
      <c r="H23" s="10">
        <f>SUMIFS('[7]TABLO-1'!X4:X32873,'[7]TABLO-1'!H4:H32873,"=Dağıtım-OG",'[7]TABLO-1'!J4:J32873,"=Güvenlik",'[7]TABLO-1'!K4:K32873,"=Bildirimli",'[7]TABLO-1'!I4:I32873,"=Uzun",'[7]TABLO-1'!D4:D32873,"=MERİÇ")/P13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SUMIFS('[7]TABLO-1'!Y4:Y32873,'[7]TABLO-1'!H4:H32873,"=Dağıtım-OG",'[7]TABLO-1'!J4:J32873,"=Güvenlik",'[7]TABLO-1'!K4:K32873,"=Bildirimli",'[7]TABLO-1'!I4:I32873,"=Uzun",'[7]TABLO-1'!D4:D32873,"=MERİÇ")/P8</f>
        <v>0</v>
      </c>
      <c r="K23" s="10">
        <f>SUMIFS('[7]TABLO-1'!Z4:Z32873,'[7]TABLO-1'!H4:H32873,"=Dağıtım-OG",'[7]TABLO-1'!J4:J32873,"=Güvenlik",'[7]TABLO-1'!K4:K32873,"=Bildirimli",'[7]TABLO-1'!I4:I32873,"=Uzun",'[7]TABLO-1'!D4:D32873,"=MERİÇ")/P14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5053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İşletmecisi",'[7]TABLO-1'!K4:K32873,"=Bildirimli",'[7]TABLO-1'!I4:I32873,"=Uzun",'[7]TABLO-1'!D4:D32873,"=MERİÇ")/P6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İşletmecisi",'[7]TABLO-1'!K4:K32873,"=Bildirimli",'[7]TABLO-1'!I4:I32873,"=Uzun",'[7]TABLO-1'!D4:D32873,"=MERİÇ")/P12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İşletmecisi",'[7]TABLO-1'!K4:K32873,"=Bildirimli",'[7]TABLO-1'!I4:I32873,"=Uzun",'[7]TABLO-1'!D4:D32873,"=MERİÇ")/P7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İşletmecisi",'[7]TABLO-1'!K4:K32873,"=Bildirimli",'[7]TABLO-1'!I4:I32873,"=Uzun",'[7]TABLO-1'!D4:D32873,"=MERİÇ")/P13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İşletmecisi",'[7]TABLO-1'!K4:K32873,"=Bildirimli",'[7]TABLO-1'!I4:I32873,"=Uzun",'[7]TABLO-1'!D4:D32873,"=MERİÇ")/P8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İşletmecisi",'[7]TABLO-1'!K4:K32873,"=Bildirimli",'[7]TABLO-1'!I4:I32873,"=Uzun",'[7]TABLO-1'!D4:D32873,"=MERİÇ")/P14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SUMIFS('[7]TABLO-1'!U4:U32873,'[7]TABLO-1'!H4:H32873,"=Dağıtım-AG",'[7]TABLO-1'!J4:J32873,"=Güvenlik",'[7]TABLO-1'!K4:K32873,"=Bildirimli",'[7]TABLO-1'!I4:I32873,"=Uzun",'[7]TABLO-1'!D4:D32873,"=MERİÇ")/P6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SUMIFS('[7]TABLO-1'!V4:V32873,'[7]TABLO-1'!H4:H32873,"=Dağıtım-AG",'[7]TABLO-1'!J4:J32873,"=Güvenlik",'[7]TABLO-1'!K4:K32873,"=Bildirimli",'[7]TABLO-1'!I4:I32873,"=Uzun",'[7]TABLO-1'!D4:D32873,"=MERİÇ")/P12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SUMIFS('[7]TABLO-1'!W4:W32873,'[7]TABLO-1'!H4:H32873,"=Dağıtım-AG",'[7]TABLO-1'!J4:J32873,"=Güvenlik",'[7]TABLO-1'!K4:K32873,"=Bildirimli",'[7]TABLO-1'!I4:I32873,"=Uzun",'[7]TABLO-1'!D4:D32873,"=MERİÇ")/P7</f>
        <v>0</v>
      </c>
      <c r="H25" s="10">
        <f>SUMIFS('[7]TABLO-1'!X4:X32873,'[7]TABLO-1'!H4:H32873,"=Dağıtım-AG",'[7]TABLO-1'!J4:J32873,"=Güvenlik",'[7]TABLO-1'!K4:K32873,"=Bildirimli",'[7]TABLO-1'!I4:I32873,"=Uzun",'[7]TABLO-1'!D4:D32873,"=MERİÇ")/P13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SUMIFS('[7]TABLO-1'!Y4:Y32873,'[7]TABLO-1'!H4:H32873,"=Dağıtım-AG",'[7]TABLO-1'!J4:J32873,"=Güvenlik",'[7]TABLO-1'!K4:K32873,"=Bildirimli",'[7]TABLO-1'!I4:I32873,"=Uzun",'[7]TABLO-1'!D4:D32873,"=MERİÇ")/P8</f>
        <v>0</v>
      </c>
      <c r="K25" s="10">
        <f>SUMIFS('[7]TABLO-1'!Z4:Z32873,'[7]TABLO-1'!H4:H32873,"=Dağıtım-AG",'[7]TABLO-1'!J4:J32873,"=Güvenlik",'[7]TABLO-1'!K4:K32873,"=Bildirimli",'[7]TABLO-1'!I4:I32873,"=Uzun",'[7]TABLO-1'!D4:D32873,"=MERİÇ")/P14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27.350892857107933</v>
      </c>
      <c r="H26" s="10">
        <f t="shared" si="9"/>
        <v>67.020054585063235</v>
      </c>
      <c r="I26" s="10">
        <f t="shared" si="9"/>
        <v>66.540875754872232</v>
      </c>
      <c r="J26" s="10">
        <f t="shared" si="9"/>
        <v>2.6431972789102973</v>
      </c>
      <c r="K26" s="10">
        <f t="shared" si="9"/>
        <v>0.38680187525410664</v>
      </c>
      <c r="L26" s="10">
        <f t="shared" si="9"/>
        <v>0.4524440926175462</v>
      </c>
      <c r="M26" s="11">
        <f t="shared" si="9"/>
        <v>32.074486531074839</v>
      </c>
      <c r="O26" s="43" t="s">
        <v>22</v>
      </c>
      <c r="P26" s="44">
        <f>P20+P17+P23</f>
        <v>9689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İşletmecisi",'[7]TABLO-1'!K4:K32873,"=Bildirimsiz",'[7]TABLO-1'!I4:I32873,"=Uzun",'[7]TABLO-1'!D4:D32873,"=MERİÇ")/P6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İşletmecisi",'[7]TABLO-1'!K4:K32873,"=Bildirimsiz",'[7]TABLO-1'!I4:I32873,"=Uzun",'[7]TABLO-1'!D4:D32873,"=MERİÇ")/P12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İşletmecisi",'[7]TABLO-1'!K4:K32873,"=Bildirimsiz",'[7]TABLO-1'!I4:I32873,"=Uzun",'[7]TABLO-1'!D4:D32873,"=MERİÇ")/P7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İşletmecisi",'[7]TABLO-1'!K4:K32873,"=Bildirimsiz",'[7]TABLO-1'!I4:I32873,"=Uzun",'[7]TABLO-1'!D4:D32873,"=MERİÇ")/P13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İşletmecisi",'[7]TABLO-1'!K4:K32873,"=Bildirimsiz",'[7]TABLO-1'!I4:I32873,"=Uzun",'[7]TABLO-1'!D4:D32873,"=MERİÇ")/P8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İşletmecisi",'[7]TABLO-1'!K4:K32873,"=bildirimsiz",'[7]TABLO-1'!I4:I32873,"=Uzun",'[7]TABLO-1'!D4:D32873,"=MERİÇ")/P14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Sebep",'[7]TABLO-1'!K4:K32873,"=Bildirimsiz",'[7]TABLO-1'!I4:I32873,"=Uzun",'[7]TABLO-1'!D4:D32873,"=MERİÇ")/P6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Sebep",'[7]TABLO-1'!K4:K32873,"=Bildirimsiz",'[7]TABLO-1'!I4:I32873,"=Uzun",'[7]TABLO-1'!D4:D32873,"=MERİÇ")/P12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Sebep",'[7]TABLO-1'!K4:K32873,"=Bildirimsiz",'[7]TABLO-1'!I4:I32873,"=Uzun",'[7]TABLO-1'!D4:D32873,"=MERİÇ")/P7</f>
        <v>0</v>
      </c>
      <c r="H32" s="10">
        <f>SUMIFS('[7]TABLO-1'!R4:R32873,'[7]TABLO-1'!H4:H32873,"=İletim",'[7]TABLO-1'!J4:J32873,"=Mücbir Sebep",'[7]TABLO-1'!K4:K32873,"=Bildirimsiz",'[7]TABLO-1'!I4:I32873,"=Uzun",'[7]TABLO-1'!D4:D32873,"=MERİÇ")/P13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Sebep",'[7]TABLO-1'!K4:K32873,"=Bildirimsiz",'[7]TABLO-1'!I4:I32873,"=Uzun",'[7]TABLO-1'!D4:D32873,"=MERİÇ")/P8</f>
        <v>0</v>
      </c>
      <c r="K32" s="10">
        <f>SUMIFS('[7]TABLO-1'!T4:T32873,'[7]TABLO-1'!H4:H32873,"=İletim",'[7]TABLO-1'!J4:J32873,"=Mücbir Sebep",'[7]TABLO-1'!K4:K32873,"=bildirimsiz",'[7]TABLO-1'!I4:I32873,"=Uzun",'[7]TABLO-1'!D4:D32873,"=MERİÇ")/P14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İşletmecisi",'[7]TABLO-1'!K4:K32873,"=Bildirimsiz",'[7]TABLO-1'!I4:I32873,"=Uzun",'[7]TABLO-1'!D4:D32873,"=MERİÇ")/P6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İşletmecisi",'[7]TABLO-1'!K4:K32873,"=Bildirimsiz",'[7]TABLO-1'!I4:I32873,"=Uzun",'[7]TABLO-1'!D4:D32873,"=MERİÇ")/P12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İşletmecisi",'[7]TABLO-1'!K4:K32873,"=Bildirimsiz",'[7]TABLO-1'!I4:I32873,"=Uzun",'[7]TABLO-1'!D4:D32873,"=MERİÇ")/P7</f>
        <v>0.125</v>
      </c>
      <c r="H33" s="10">
        <f>SUMIFS('[7]TABLO-1'!R4:R32873,'[7]TABLO-1'!H4:H32873,"=Dağıtım-OG",'[7]TABLO-1'!J4:J32873,"=Şebeke İşletmecisi",'[7]TABLO-1'!K4:K32873,"=Bildirimsiz",'[7]TABLO-1'!I4:I32873,"=Uzun",'[7]TABLO-1'!D4:D32873,"=MERİÇ")/P13</f>
        <v>0.8670305676855895</v>
      </c>
      <c r="I33" s="10">
        <f t="shared" si="11"/>
        <v>0.8580672993960311</v>
      </c>
      <c r="J33" s="10">
        <f>SUMIFS('[7]TABLO-1'!S4:S32873,'[7]TABLO-1'!H4:H32873,"=Dağıtım-OG",'[7]TABLO-1'!J4:J32873,"=Şebeke İşletmecisi",'[7]TABLO-1'!K4:K32873,"=Bildirimsiz",'[7]TABLO-1'!I4:I32873,"=Uzun",'[7]TABLO-1'!D4:D32873,"=MERİÇ")/P8</f>
        <v>1.3809523809523809</v>
      </c>
      <c r="K33" s="10">
        <f>SUMIFS('[7]TABLO-1'!T4:T32873,'[7]TABLO-1'!H4:H32873,"=Dağıtım-OG",'[7]TABLO-1'!J4:J32873,"=Şebeke İşletmecisi",'[7]TABLO-1'!K4:K32873,"=bildirimsiz",'[7]TABLO-1'!I4:I32873,"=Uzun",'[7]TABLO-1'!D4:D32873,"=MERİÇ")/P14</f>
        <v>1.5882592743579291</v>
      </c>
      <c r="L33" s="10">
        <f t="shared" si="12"/>
        <v>1.5822283791806848</v>
      </c>
      <c r="M33" s="11">
        <f t="shared" si="13"/>
        <v>1.2357312416142017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SUMIFS('[7]TABLO-1'!O4:O32873,'[7]TABLO-1'!H4:H32873,"=Dağıtım-OG",'[7]TABLO-1'!J4:J32873,"=Dışsal",'[7]TABLO-1'!K4:K32873,"=Bildirimsiz",'[7]TABLO-1'!I4:I32873,"=Uzun",'[7]TABLO-1'!D4:D32873,"=MERİÇ")/P6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SUMIFS('[7]TABLO-1'!P4:P32873,'[7]TABLO-1'!H4:H32873,"=Dağıtım-OG",'[7]TABLO-1'!J4:J32873,"=Dışsal",'[7]TABLO-1'!K4:K32873,"=Bildirimsiz",'[7]TABLO-1'!I4:I32873,"=Uzun",'[7]TABLO-1'!D4:D32873,"=MERİÇ")/P12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SUMIFS('[7]TABLO-1'!Q4:Q32873,'[7]TABLO-1'!H4:H32873,"=Dağıtım-OG",'[7]TABLO-1'!J4:J32873,"=Dışsal",'[7]TABLO-1'!K4:K32873,"=Bildirimsiz",'[7]TABLO-1'!I4:I32873,"=Uzun",'[7]TABLO-1'!D4:D32873,"=MERİÇ")/P7</f>
        <v>0</v>
      </c>
      <c r="H34" s="10">
        <f>SUMIFS('[7]TABLO-1'!R4:R32873,'[7]TABLO-1'!H4:H32873,"=Dağıtım-OG",'[7]TABLO-1'!J4:J32873,"=Dışsal",'[7]TABLO-1'!K4:K32873,"=Bildirimsiz",'[7]TABLO-1'!I4:I32873,"=Uzun",'[7]TABLO-1'!D4:D32873,"=MERİÇ")/P13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SUMIFS('[7]TABLO-1'!S4:S32873,'[7]TABLO-1'!H4:H32873,"=Dağıtım-OG",'[7]TABLO-1'!J4:J32873,"=Dışsal",'[7]TABLO-1'!K4:K32873,"=Bildirimsiz",'[7]TABLO-1'!I4:I32873,"=Uzun",'[7]TABLO-1'!D4:D32873,"=MERİÇ")/P8</f>
        <v>0</v>
      </c>
      <c r="K34" s="10">
        <f>SUMIFS('[7]TABLO-1'!T4:T32873,'[7]TABLO-1'!H4:H32873,"=Dağıtım-OG",'[7]TABLO-1'!J4:J32873,"=Dışsal",'[7]TABLO-1'!K4:K32873,"=bildirimsiz",'[7]TABLO-1'!I4:I32873,"=Uzun",'[7]TABLO-1'!D4:D32873,"=MERİÇ")/P14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Sebep",'[7]TABLO-1'!K4:K32873,"=Bildirimsiz",'[7]TABLO-1'!I4:I32873,"=Uzun",'[7]TABLO-1'!D4:D32873,"=MERİÇ")/P6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Sebep",'[7]TABLO-1'!K4:K32873,"=Bildirimsiz",'[7]TABLO-1'!I4:I32873,"=Uzun",'[7]TABLO-1'!D4:D32873,"=MERİÇ")/P12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Sebep",'[7]TABLO-1'!K4:K32873,"=Bildirimsiz",'[7]TABLO-1'!I4:I32873,"=Uzun",'[7]TABLO-1'!D4:D32873,"=MERİÇ")/P7</f>
        <v>0</v>
      </c>
      <c r="H35" s="10">
        <f>SUMIFS('[7]TABLO-1'!R4:R32873,'[7]TABLO-1'!H4:H32873,"=Dağıtım-OG",'[7]TABLO-1'!J4:J32873,"=Mücbir Sebep",'[7]TABLO-1'!K4:K32873,"=Bildirimsiz",'[7]TABLO-1'!I4:I32873,"=Uzun",'[7]TABLO-1'!D4:D32873,"=MERİÇ")/P13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Sebep",'[7]TABLO-1'!K4:K32873,"=Bildirimsiz",'[7]TABLO-1'!I4:I32873,"=Uzun",'[7]TABLO-1'!D4:D32873,"=MERİÇ")/P8</f>
        <v>0</v>
      </c>
      <c r="K35" s="10">
        <f>SUMIFS('[7]TABLO-1'!T4:T32873,'[7]TABLO-1'!H4:H32873,"=Dağıtım-OG",'[7]TABLO-1'!J4:J32873,"=Mücbir Sebep",'[7]TABLO-1'!K4:K32873,"=bildirimsiz",'[7]TABLO-1'!I4:I32873,"=Uzun",'[7]TABLO-1'!D4:D32873,"=MERİÇ")/P14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SUMIFS('[7]TABLO-1'!O4:O32873,'[7]TABLO-1'!H4:H32873,"=Dağıtım-OG",'[7]TABLO-1'!J4:J32873,"=Güvenlik",'[7]TABLO-1'!K4:K32873,"=Bildirimsiz",'[7]TABLO-1'!I4:I32873,"=Uzun",'[7]TABLO-1'!D4:D32873,"=MERİÇ")/P6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SUMIFS('[7]TABLO-1'!P4:P32873,'[7]TABLO-1'!H4:H32873,"=Dağıtım-OG",'[7]TABLO-1'!J4:J32873,"=Güvenlik",'[7]TABLO-1'!K4:K32873,"=Bildirimsiz",'[7]TABLO-1'!I4:I32873,"=Uzun",'[7]TABLO-1'!D4:D32873,"=MERİÇ")/P12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SUMIFS('[7]TABLO-1'!Q4:Q32873,'[7]TABLO-1'!H4:H32873,"=Dağıtım-OG",'[7]TABLO-1'!J4:J32873,"=Güvenlik",'[7]TABLO-1'!K4:K32873,"=Bildirimsiz",'[7]TABLO-1'!I4:I32873,"=Uzun",'[7]TABLO-1'!D4:D32873,"=MERİÇ")/P7</f>
        <v>0</v>
      </c>
      <c r="H36" s="10">
        <f>SUMIFS('[7]TABLO-1'!R4:R32873,'[7]TABLO-1'!H4:H32873,"=Dağıtım-OG",'[7]TABLO-1'!J4:J32873,"=Güvenlik",'[7]TABLO-1'!K4:K32873,"=Bildirimsiz",'[7]TABLO-1'!I4:I32873,"=Uzun",'[7]TABLO-1'!D4:D32873,"=MERİÇ")/P13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SUMIFS('[7]TABLO-1'!S4:S32873,'[7]TABLO-1'!H4:H32873,"=Dağıtım-OG",'[7]TABLO-1'!J4:J32873,"=Güvenlik",'[7]TABLO-1'!K4:K32873,"=Bildirimsiz",'[7]TABLO-1'!I4:I32873,"=Uzun",'[7]TABLO-1'!D4:D32873,"=MERİÇ")/P8</f>
        <v>0</v>
      </c>
      <c r="K36" s="10">
        <f>SUMIFS('[7]TABLO-1'!T4:T32873,'[7]TABLO-1'!H4:H32873,"=Dağıtım-OG",'[7]TABLO-1'!J4:J32873,"=Güvenlik",'[7]TABLO-1'!K4:K32873,"=bildirimsiz",'[7]TABLO-1'!I4:I32873,"=Uzun",'[7]TABLO-1'!D4:D32873,"=MERİÇ")/P14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İşletmecisi",'[7]TABLO-1'!K4:K32873,"=Bildirimsiz",'[7]TABLO-1'!I4:I32873,"=Uzun",'[7]TABLO-1'!D4:D32873,"=MERİÇ")/P6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İşletmecisi",'[7]TABLO-1'!K4:K32873,"=Bildirimsiz",'[7]TABLO-1'!I4:I32873,"=Uzun",'[7]TABLO-1'!D4:D32873,"=MERİÇ")/P12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İşletmecisi",'[7]TABLO-1'!K4:K32873,"=Bildirimsiz",'[7]TABLO-1'!I4:I32873,"=Uzun",'[7]TABLO-1'!D4:D32873,"=MERİÇ")/P7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İşletmecisi",'[7]TABLO-1'!K4:K32873,"=Bildirimsiz",'[7]TABLO-1'!I4:I32873,"=Uzun",'[7]TABLO-1'!D4:D32873,"=MERİÇ")/P13</f>
        <v>7.991266375545851E-2</v>
      </c>
      <c r="I37" s="10">
        <f t="shared" si="11"/>
        <v>7.8947368421052627E-2</v>
      </c>
      <c r="J37" s="12">
        <f>SUMIFS('[7]TABLO-1'!S4:S32873,'[7]TABLO-1'!H4:H32873,"=Dağıtım-AG",'[7]TABLO-1'!J4:J32873,"=Şebeke İşletmecisi",'[7]TABLO-1'!K4:K32873,"=Bildirimsiz",'[7]TABLO-1'!I4:I32873,"=Uzun",'[7]TABLO-1'!D4:D32873,"=MERİÇ")/P8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İşletmecisi",'[7]TABLO-1'!K4:K32873,"=bildirimsiz",'[7]TABLO-1'!I4:I32873,"=Uzun",'[7]TABLO-1'!D4:D32873,"=MERİÇ")/P14</f>
        <v>0.11027313493681207</v>
      </c>
      <c r="L37" s="10">
        <f t="shared" si="12"/>
        <v>0.10706510983574115</v>
      </c>
      <c r="M37" s="11">
        <f t="shared" si="13"/>
        <v>9.3611311796883062E-2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SUMIFS('[7]TABLO-1'!O4:O32873,'[7]TABLO-1'!H4:H32873,"=Dağıtım-AG",'[7]TABLO-1'!J4:J32873,"=Dışsal",'[7]TABLO-1'!K4:K32873,"=Bildirimsiz",'[7]TABLO-1'!I4:I32873,"=Uzun",'[7]TABLO-1'!D4:D32873,"=MERİÇ")/P6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SUMIFS('[7]TABLO-1'!P4:P32873,'[7]TABLO-1'!H4:H32873,"=Dağıtım-AG",'[7]TABLO-1'!J4:J32873,"=Dışsal",'[7]TABLO-1'!K4:K32873,"=Bildirimsiz",'[7]TABLO-1'!I4:I32873,"=Uzun",'[7]TABLO-1'!D4:D32873,"=MERİÇ")/P12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SUMIFS('[7]TABLO-1'!Q4:Q32873,'[7]TABLO-1'!H4:H32873,"=Dağıtım-AG",'[7]TABLO-1'!J4:J32873,"=Dışsal",'[7]TABLO-1'!K4:K32873,"=Bildirimsiz",'[7]TABLO-1'!I4:I32873,"=Uzun",'[7]TABLO-1'!D4:D32873,"=MERİÇ")/P7</f>
        <v>0</v>
      </c>
      <c r="H38" s="10">
        <f>SUMIFS('[7]TABLO-1'!R4:R32873,'[7]TABLO-1'!H4:H32873,"=Dağıtım-AG",'[7]TABLO-1'!J4:J32873,"=Dışsal",'[7]TABLO-1'!K4:K32873,"=Bildirimsiz",'[7]TABLO-1'!I4:I32873,"=Uzun",'[7]TABLO-1'!D4:D32873,"=MERİÇ")/P13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SUMIFS('[7]TABLO-1'!S4:S32873,'[7]TABLO-1'!H4:H32873,"=Dağıtım-AG",'[7]TABLO-1'!J4:J32873,"=Dışsal",'[7]TABLO-1'!K4:K32873,"=Bildirimsiz",'[7]TABLO-1'!I4:I32873,"=Uzun",'[7]TABLO-1'!D4:D32873,"=MERİÇ")/P8</f>
        <v>0</v>
      </c>
      <c r="K38" s="10">
        <f>SUMIFS('[7]TABLO-1'!T4:T32873,'[7]TABLO-1'!H4:H32873,"=Dağıtım-AG",'[7]TABLO-1'!J4:J32873,"=Dışsal",'[7]TABLO-1'!K4:K32873,"=bildirimsiz",'[7]TABLO-1'!I4:I32873,"=Uzun",'[7]TABLO-1'!D4:D32873,"=MERİÇ")/P14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Sebep",'[7]TABLO-1'!K4:K32873,"=Bildirimsiz",'[7]TABLO-1'!I4:I32873,"=Uzun",'[7]TABLO-1'!D4:D32873,"=MERİÇ")/P6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Sebep",'[7]TABLO-1'!K4:K32873,"=Bildirimsiz",'[7]TABLO-1'!I4:I32873,"=Uzun",'[7]TABLO-1'!D4:D32873,"=MERİÇ")/P12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Sebep",'[7]TABLO-1'!K4:K32873,"=Bildirimsiz",'[7]TABLO-1'!I4:I32873,"=Uzun",'[7]TABLO-1'!D4:D32873,"=MERİÇ")/P7</f>
        <v>0</v>
      </c>
      <c r="H39" s="10">
        <f>SUMIFS('[7]TABLO-1'!R4:R32873,'[7]TABLO-1'!H4:H32873,"=Dağıtım-AG",'[7]TABLO-1'!J4:J32873,"=Mücbir Sebep",'[7]TABLO-1'!K4:K32873,"=Bildirimsiz",'[7]TABLO-1'!I4:I32873,"=Uzun",'[7]TABLO-1'!D4:D32873,"=MERİÇ")/P13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Sebep",'[7]TABLO-1'!K4:K32873,"=Bildirimsiz",'[7]TABLO-1'!I4:I32873,"=Uzun",'[7]TABLO-1'!D4:D32873,"=MERİÇ")/P8</f>
        <v>0</v>
      </c>
      <c r="K39" s="10">
        <f>SUMIFS('[7]TABLO-1'!T4:T32873,'[7]TABLO-1'!H4:H32873,"=Dağıtım-AG",'[7]TABLO-1'!J4:J32873,"=Mücbir Sebep",'[7]TABLO-1'!K4:K32873,"=bildirimsiz",'[7]TABLO-1'!I4:I32873,"=Uzun",'[7]TABLO-1'!D4:D32873,"=MERİÇ")/P14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SUMIFS('[7]TABLO-1'!O4:O32873,'[7]TABLO-1'!H4:H32873,"=Dağıtım-AG",'[7]TABLO-1'!J4:J32873,"=Güvenlik",'[7]TABLO-1'!K4:K32873,"=Bildirimsiz",'[7]TABLO-1'!I4:I32873,"=Uzun",'[7]TABLO-1'!D4:D32873,"=MERİÇ")/P6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SUMIFS('[7]TABLO-1'!P4:P32873,'[7]TABLO-1'!H4:H32873,"=Dağıtım-AG",'[7]TABLO-1'!J4:J32873,"=Güvenlik",'[7]TABLO-1'!K4:K32873,"=Bildirimsiz",'[7]TABLO-1'!I4:I32873,"=Uzun",'[7]TABLO-1'!D4:D32873,"=MERİÇ")/P12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SUMIFS('[7]TABLO-1'!Q4:Q32873,'[7]TABLO-1'!H4:H32873,"=Dağıtım-AG",'[7]TABLO-1'!J4:J32873,"=Güvenlik",'[7]TABLO-1'!K4:K32873,"=Bildirimsiz",'[7]TABLO-1'!I4:I32873,"=Uzun",'[7]TABLO-1'!D4:D32873,"=MERİÇ")/P7</f>
        <v>0</v>
      </c>
      <c r="H40" s="10">
        <f>SUMIFS('[7]TABLO-1'!R4:R32873,'[7]TABLO-1'!H4:H32873,"=Dağıtım-AG",'[7]TABLO-1'!J4:J32873,"=Güvenlik",'[7]TABLO-1'!K4:K32873,"=Bildirimsiz",'[7]TABLO-1'!I4:I32873,"=Uzun",'[7]TABLO-1'!D4:D32873,"=MERİÇ")/P13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SUMIFS('[7]TABLO-1'!S4:S32873,'[7]TABLO-1'!H4:H32873,"=Dağıtım-AG",'[7]TABLO-1'!J4:J32873,"=Güvenlik",'[7]TABLO-1'!K4:K32873,"=Bildirimsiz",'[7]TABLO-1'!I4:I32873,"=Uzun",'[7]TABLO-1'!D4:D32873,"=MERİÇ")/P8</f>
        <v>0</v>
      </c>
      <c r="K40" s="10">
        <f>SUMIFS('[7]TABLO-1'!T4:T32873,'[7]TABLO-1'!H4:H32873,"=Dağıtım-AG",'[7]TABLO-1'!J4:J32873,"=Güvenlik",'[7]TABLO-1'!K4:K32873,"=bildirimsiz",'[7]TABLO-1'!I4:I32873,"=Uzun",'[7]TABLO-1'!D4:D32873,"=MERİÇ")/P14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0.125</v>
      </c>
      <c r="H41" s="10">
        <f t="shared" si="14"/>
        <v>0.94694323144104797</v>
      </c>
      <c r="I41" s="10">
        <f t="shared" si="14"/>
        <v>0.93701466781708376</v>
      </c>
      <c r="J41" s="10">
        <f t="shared" si="14"/>
        <v>1.3809523809523809</v>
      </c>
      <c r="K41" s="10">
        <f t="shared" si="14"/>
        <v>1.6985324092947411</v>
      </c>
      <c r="L41" s="10">
        <f t="shared" si="14"/>
        <v>1.689293489016426</v>
      </c>
      <c r="M41" s="10">
        <f t="shared" si="14"/>
        <v>1.3293425534110848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İşletmecisi",'[7]TABLO-1'!K4:K32873,"=Bildirimli",'[7]TABLO-1'!I4:I32873,"=Uzun",'[7]TABLO-1'!D4:D32873,"=MERİÇ")/P6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İşletmecisi",'[7]TABLO-1'!K4:K32873,"=Bildirimli",'[7]TABLO-1'!I4:I32873,"=Uzun",'[7]TABLO-1'!D4:D32873,"=MERİÇ")/P12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İşletmecisi",'[7]TABLO-1'!K4:K32873,"=Bildirimli",'[7]TABLO-1'!I4:I32873,"=Uzun",'[7]TABLO-1'!D4:D32873,"=MERİÇ")/P7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İşletmecisi",'[7]TABLO-1'!K4:K32873,"=Bildirimli",'[7]TABLO-1'!I4:I32873,"=Uzun",'[7]TABLO-1'!D4:D32873,"=MERİÇ")/P13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İşletmecisi",'[7]TABLO-1'!K4:K32873,"=Bildirimli",'[7]TABLO-1'!I4:I32873,"=Uzun",'[7]TABLO-1'!D4:D32873,"=MERİÇ")/P8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İşletmecisi",'[7]TABLO-1'!K4:K32873,"=bildirimli",'[7]TABLO-1'!I4:I32873,"=Uzun",'[7]TABLO-1'!D4:D32873,"=MERİÇ")/P14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İşletmecisi",'[7]TABLO-1'!K4:K32873,"=Bildirimli",'[7]TABLO-1'!I4:I32873,"=Uzun",'[7]TABLO-1'!D4:D32873,"=MERİÇ")/P6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İşletmecisi",'[7]TABLO-1'!K4:K32873,"=Bildirimli",'[7]TABLO-1'!I4:I32873,"=Uzun",'[7]TABLO-1'!D4:D32873,"=MERİÇ")/P12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İşletmecisi",'[7]TABLO-1'!K4:K32873,"=Bildirimli",'[7]TABLO-1'!I4:I32873,"=Uzun",'[7]TABLO-1'!D4:D32873,"=MERİÇ")/P7</f>
        <v>0.14285714285714285</v>
      </c>
      <c r="H47" s="10">
        <f>SUMIFS('[7]TABLO-1'!R4:R32873,'[7]TABLO-1'!H4:H32873,"=Dağıtım-OG",'[7]TABLO-1'!J4:J32873,"=Şebeke İşletmecisi",'[7]TABLO-1'!K4:K32873,"=Bildirimli",'[7]TABLO-1'!I4:I32873,"=Uzun",'[7]TABLO-1'!D4:D32873,"=MERİÇ")/P13</f>
        <v>0.35043668122270744</v>
      </c>
      <c r="I47" s="10">
        <f t="shared" ref="I47:I50" si="16">IFERROR((((G47*$P$7)+(H47*$P$13))/$P$20),"0,00")</f>
        <v>0.34792924935289044</v>
      </c>
      <c r="J47" s="10">
        <f>SUMIFS('[7]TABLO-1'!S4:S32873,'[7]TABLO-1'!H4:H32873,"=Dağıtım-OG",'[7]TABLO-1'!J4:J32873,"=Şebeke İşletmecisi",'[7]TABLO-1'!K4:K32873,"=Bildirimli",'[7]TABLO-1'!I4:I32873,"=Uzun",'[7]TABLO-1'!D4:D32873,"=MERİÇ")/P8</f>
        <v>1.3605442176870748E-2</v>
      </c>
      <c r="K47" s="10">
        <f>SUMIFS('[7]TABLO-1'!T4:T32873,'[7]TABLO-1'!H4:H32873,"=Dağıtım-OG",'[7]TABLO-1'!J4:J32873,"=Şebeke İşletmecisi",'[7]TABLO-1'!K4:K32873,"=bildirimli",'[7]TABLO-1'!I4:I32873,"=Uzun",'[7]TABLO-1'!D4:D32873,"=MERİÇ")/P14</f>
        <v>2.0383204239706482E-3</v>
      </c>
      <c r="L47" s="10">
        <f t="shared" ref="L47:L50" si="17">IFERROR((((J47*$P$8)+(K47*$P$14))/$P$23),"0,00")</f>
        <v>2.3748268355432418E-3</v>
      </c>
      <c r="M47" s="11">
        <f t="shared" ref="M47:M50" si="18">IFERROR((((F47*$P$17)+(I47*$P$20)+(L47*$P$23))/$P$26),"0,00")</f>
        <v>0.16771596656001653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SUMIFS('[7]TABLO-1'!O4:O32873,'[7]TABLO-1'!H4:H32873,"=Dağıtım-OG",'[7]TABLO-1'!J4:J32873,"=Güvenlik",'[7]TABLO-1'!K4:K32873,"=Bildirimli",'[7]TABLO-1'!I4:I32873,"=Uzun",'[7]TABLO-1'!D4:D32873,"=MERİÇ")/P6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SUMIFS('[7]TABLO-1'!P4:P32873,'[7]TABLO-1'!H4:H32873,"=Dağıtım-OG",'[7]TABLO-1'!J4:J32873,"=Güvenlik",'[7]TABLO-1'!K4:K32873,"=Bildirimli",'[7]TABLO-1'!I4:I32873,"=Uzun",'[7]TABLO-1'!D4:D32873,"=MERİÇ")/P12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SUMIFS('[7]TABLO-1'!Q4:Q32873,'[7]TABLO-1'!H4:H32873,"=Dağıtım-OG",'[7]TABLO-1'!J4:J32873,"=Güvenlik",'[7]TABLO-1'!K4:K32873,"=Bildirimli",'[7]TABLO-1'!I4:I32873,"=Uzun",'[7]TABLO-1'!D4:D32873,"=MERİÇ")/P7</f>
        <v>0</v>
      </c>
      <c r="H48" s="10">
        <f>SUMIFS('[7]TABLO-1'!R4:R32873,'[7]TABLO-1'!H4:H32873,"=Dağıtım-OG",'[7]TABLO-1'!J4:J32873,"=Güvenlik",'[7]TABLO-1'!K4:K32873,"=Bildirimli",'[7]TABLO-1'!I4:I32873,"=Uzun",'[7]TABLO-1'!D4:D32873,"=MERİÇ")/P13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SUMIFS('[7]TABLO-1'!S4:S32873,'[7]TABLO-1'!H4:H32873,"=Dağıtım-OG",'[7]TABLO-1'!J4:J32873,"=Güvenlik",'[7]TABLO-1'!K4:K32873,"=Bildirimli",'[7]TABLO-1'!I4:I32873,"=Uzun",'[7]TABLO-1'!D4:D32873,"=MERİÇ")/P8</f>
        <v>0</v>
      </c>
      <c r="K48" s="10">
        <f>SUMIFS('[7]TABLO-1'!T4:T32873,'[7]TABLO-1'!H4:H32873,"=Dağıtım-OG",'[7]TABLO-1'!J4:J32873,"=Güvenlik",'[7]TABLO-1'!K4:K32873,"=bildirimli",'[7]TABLO-1'!I4:I32873,"=Uzun",'[7]TABLO-1'!D4:D32873,"=MERİÇ")/P14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İşletmecisi",'[7]TABLO-1'!K4:K32873,"=Bildirimli",'[7]TABLO-1'!I4:I32873,"=Uzun",'[7]TABLO-1'!D4:D32873,"=MERİÇ")/P6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İşletmecisi",'[7]TABLO-1'!K4:K32873,"=Bildirimli",'[7]TABLO-1'!I4:I32873,"=Uzun",'[7]TABLO-1'!D4:D32873,"=MERİÇ")/P12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İşletmecisi",'[7]TABLO-1'!K4:K32873,"=Bildirimli",'[7]TABLO-1'!I4:I32873,"=Uzun",'[7]TABLO-1'!D4:D32873,"=MERİÇ")/P7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İşletmecisi",'[7]TABLO-1'!K4:K32873,"=Bildirimli",'[7]TABLO-1'!I4:I32873,"=Uzun",'[7]TABLO-1'!D4:D32873,"=MERİÇ")/P13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İşletmecisi",'[7]TABLO-1'!K4:K32873,"=Bildirimli",'[7]TABLO-1'!I4:I32873,"=Uzun",'[7]TABLO-1'!D4:D32873,"=MERİÇ")/P8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İşletmecisi",'[7]TABLO-1'!K4:K32873,"=bildirimli",'[7]TABLO-1'!I4:I32873,"=Uzun",'[7]TABLO-1'!D4:D32873,"=MERİÇ")/P14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SUMIFS('[7]TABLO-1'!O4:O32873,'[7]TABLO-1'!H4:H32873,"=Dağıtım-AG",'[7]TABLO-1'!J4:J32873,"=Güvenlik",'[7]TABLO-1'!K4:K32873,"=Bildirimli",'[7]TABLO-1'!I4:I32873,"=Uzun",'[7]TABLO-1'!D4:D32873,"=MERİÇ")/P6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SUMIFS('[7]TABLO-1'!P4:P32873,'[7]TABLO-1'!H4:H32873,"=Dağıtım-AG",'[7]TABLO-1'!J4:J32873,"=Güvenlik",'[7]TABLO-1'!K4:K32873,"=Bildirimli",'[7]TABLO-1'!I4:I32873,"=Uzun",'[7]TABLO-1'!D4:D32873,"=MERİÇ")/P12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SUMIFS('[7]TABLO-1'!Q4:Q32873,'[7]TABLO-1'!H4:H32873,"=Dağıtım-AG",'[7]TABLO-1'!J4:J32873,"=Güvenlik",'[7]TABLO-1'!K4:K32873,"=Bildirimli",'[7]TABLO-1'!I4:I32873,"=Uzun",'[7]TABLO-1'!D4:D32873,"=MERİÇ")/P7</f>
        <v>0</v>
      </c>
      <c r="H50" s="10">
        <f>SUMIFS('[7]TABLO-1'!R4:R32873,'[7]TABLO-1'!H4:H32873,"=Dağıtım-AG",'[7]TABLO-1'!J4:J32873,"=Güvenlik",'[7]TABLO-1'!K4:K32873,"=Bildirimli",'[7]TABLO-1'!I4:I32873,"=Uzun",'[7]TABLO-1'!D4:D32873,"=MERİÇ")/P13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SUMIFS('[7]TABLO-1'!S4:S32873,'[7]TABLO-1'!H4:H32873,"=Dağıtım-AG",'[7]TABLO-1'!J4:J32873,"=Güvenlik",'[7]TABLO-1'!K4:K32873,"=Bildirimli",'[7]TABLO-1'!I4:I32873,"=Uzun",'[7]TABLO-1'!D4:D32873,"=MERİÇ")/P8</f>
        <v>0</v>
      </c>
      <c r="K50" s="10">
        <f>SUMIFS('[7]TABLO-1'!T4:T32873,'[7]TABLO-1'!H4:H32873,"=Dağıtım-AG",'[7]TABLO-1'!J4:J32873,"=Güvenlik",'[7]TABLO-1'!K4:K32873,"=bildirimli",'[7]TABLO-1'!I4:I32873,"=Uzun",'[7]TABLO-1'!D4:D32873,"=MERİÇ")/P14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0.14285714285714285</v>
      </c>
      <c r="H51" s="10">
        <f t="shared" si="19"/>
        <v>0.35043668122270744</v>
      </c>
      <c r="I51" s="10">
        <f t="shared" si="19"/>
        <v>0.34792924935289044</v>
      </c>
      <c r="J51" s="10">
        <f t="shared" si="19"/>
        <v>1.3605442176870748E-2</v>
      </c>
      <c r="K51" s="10">
        <f t="shared" si="19"/>
        <v>2.0383204239706482E-3</v>
      </c>
      <c r="L51" s="10">
        <f t="shared" si="19"/>
        <v>2.3748268355432418E-3</v>
      </c>
      <c r="M51" s="10">
        <f t="shared" si="19"/>
        <v>0.16771596656001653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SUMIFS('[7]TABLO-1'!O1:O32873,'[7]TABLO-1'!H1:H32873,"=İletim",'[7]TABLO-1'!K1:K32873,"=Bildirimsiz",'[7]TABLO-1'!I1:I32873,"=Kısa",'[7]TABLO-1'!D1:D32873,"=MERİÇ")/P6</f>
        <v>#DIV/0!</v>
      </c>
      <c r="D56" s="10" t="e">
        <f>SUMIFS('[7]TABLO-1'!P1:P32873,'[7]TABLO-1'!H1:H32873,"=İletim",'[7]TABLO-1'!K1:K32873,"=Bildirimsiz",'[7]TABLO-1'!I1:I32873,"=Kısa",'[7]TABLO-1'!D1:D32873,"=MERİÇ")/P12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SUMIFS('[7]TABLO-1'!Q1:Q32873,'[7]TABLO-1'!H1:H32873,"=İletim",'[7]TABLO-1'!K1:K32873,"=Bildirimsiz",'[7]TABLO-1'!I1:I32873,"=Kısa",'[7]TABLO-1'!D1:D32873,"=MERİÇ")/P7</f>
        <v>0</v>
      </c>
      <c r="G56" s="10">
        <f>SUMIFS('[7]TABLO-1'!R1:R32873,'[7]TABLO-1'!H1:H32873,"=İletim",'[7]TABLO-1'!K1:K32873,"=Bildirimsiz",'[7]TABLO-1'!I1:I32873,"=Kısa",'[7]TABLO-1'!D1:D32873,"=MERİÇ")/P13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SUMIFS('[7]TABLO-1'!S1:S32873,'[7]TABLO-1'!H1:H32873,"=İletim",'[7]TABLO-1'!K1:K32873,"=Bildirimsiz",'[7]TABLO-1'!I1:I32873,"=Kısa",'[7]TABLO-1'!D1:D32873,"=MERİÇ")/P8</f>
        <v>0</v>
      </c>
      <c r="J56" s="10">
        <f>SUMIFS('[7]TABLO-1'!T1:T32873,'[7]TABLO-1'!H1:H32873,"=İletim",'[7]TABLO-1'!K1:K32873,"=Bildirimsiz",'[7]TABLO-1'!I1:I32873,"=Kısa",'[7]TABLO-1'!D1:D32873,"=MERİÇ")/P14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SUMIFS('[7]TABLO-1'!O4:O32873,'[7]TABLO-1'!H4:H32873,"=Dağıtım-OG",'[7]TABLO-1'!K4:K32873,"=Bildirimsiz",'[7]TABLO-1'!I4:I32873,"=Kısa",'[7]TABLO-1'!D4:D32873,"=MERİÇ")/P6</f>
        <v>#DIV/0!</v>
      </c>
      <c r="D57" s="10" t="e">
        <f>SUMIFS('[7]TABLO-1'!P4:P32873,'[7]TABLO-1'!H4:H32873,"=Dağıtım-OG",'[7]TABLO-1'!K4:K32873,"=Bildirimsiz",'[7]TABLO-1'!I4:I32873,"=Kısa",'[7]TABLO-1'!D4:D32873,"=MERİÇ")/P12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SUMIFS('[7]TABLO-1'!Q4:Q32873,'[7]TABLO-1'!H4:H32873,"=Dağıtım-OG",'[7]TABLO-1'!K4:K32873,"=Bildirimsiz",'[7]TABLO-1'!I4:I32873,"=Kısa",'[7]TABLO-1'!D4:D32873,"=MERİÇ")/P7</f>
        <v>0.5</v>
      </c>
      <c r="G57" s="10">
        <f>SUMIFS('[7]TABLO-1'!R4:R32873,'[7]TABLO-1'!H4:H32873,"=Dağıtım-OG",'[7]TABLO-1'!K4:K32873,"=Bildirimsiz",'[7]TABLO-1'!I4:I32873,"=Kısa",'[7]TABLO-1'!D4:D32873,"=MERİÇ")/P13</f>
        <v>3.0814410480349346</v>
      </c>
      <c r="H57" s="10">
        <f>IFERROR((((F57*$P$7)+(G57*$P$13))/$P$20),"0,00")</f>
        <v>3.0502588438308886</v>
      </c>
      <c r="I57" s="10">
        <f>SUMIFS('[7]TABLO-1'!S4:S32873,'[7]TABLO-1'!H4:H32873,"=Dağıtım-OG",'[7]TABLO-1'!K4:K32873,"=Bildirimsiz",'[7]TABLO-1'!I4:I32873,"=Kısa",'[7]TABLO-1'!D4:D32873,"=MERİÇ")/P8</f>
        <v>1.2040816326530612</v>
      </c>
      <c r="J57" s="10">
        <f>SUMIFS('[7]TABLO-1'!T4:T32873,'[7]TABLO-1'!H4:H32873,"=Dağıtım-OG",'[7]TABLO-1'!K4:K32873,"=Bildirimsiz",'[7]TABLO-1'!I4:I32873,"=Kısa",'[7]TABLO-1'!D4:D32873,"=MERİÇ")/P14</f>
        <v>1.739094985731757</v>
      </c>
      <c r="K57" s="10">
        <f>IFERROR((((I57*$P$8)+(J57*$P$14))/$P$23),"0,00")</f>
        <v>1.7235305758955075</v>
      </c>
      <c r="L57" s="11">
        <f>IFERROR((((E57*$P$17)+(H57*$P$20)+(K57*$P$23))/$P$26),"0,00")</f>
        <v>2.3583445143977708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SUMIFS('[7]TABLO-1'!O4:O32873,'[7]TABLO-1'!H4:H32873,"=Dağıtım-AG",'[7]TABLO-1'!K4:K32873,"=Bildirimsiz",'[7]TABLO-1'!I4:I32873,"=Kısa",'[7]TABLO-1'!D4:D32873,"=MERİÇ")/P6</f>
        <v>#DIV/0!</v>
      </c>
      <c r="D58" s="10" t="e">
        <f>SUMIFS('[7]TABLO-1'!P4:P32873,'[7]TABLO-1'!H4:H32873,"=Dağıtım-AG",'[7]TABLO-1'!K4:K32873,"=Bildirimsiz",'[7]TABLO-1'!I4:I32873,"=Kısa",'[7]TABLO-1'!D4:D32873,"=MERİÇ")/P12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SUMIFS('[7]TABLO-1'!Q4:Q32873,'[7]TABLO-1'!H4:H32873,"=Dağıtım-AG",'[7]TABLO-1'!K4:K32873,"=Bildirimsiz",'[7]TABLO-1'!I4:I32873,"=Kısa",'[7]TABLO-1'!D4:D32873,"=MERİÇ")/P7</f>
        <v>0</v>
      </c>
      <c r="G58" s="10">
        <f>SUMIFS('[7]TABLO-1'!R4:R32873,'[7]TABLO-1'!H4:H32873,"=Dağıtım-AG",'[7]TABLO-1'!K4:K32873,"=Bildirimsiz",'[7]TABLO-1'!I4:I32873,"=Kısa",'[7]TABLO-1'!D4:D32873,"=MERİÇ")/P13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SUMIFS('[7]TABLO-1'!S4:S32873,'[7]TABLO-1'!H4:H32873,"=Dağıtım-AG",'[7]TABLO-1'!K4:K32873,"=Bildirimsiz",'[7]TABLO-1'!I4:I32873,"=Kısa",'[7]TABLO-1'!D4:D32873,"=MERİÇ")/P8</f>
        <v>0</v>
      </c>
      <c r="J58" s="10">
        <f>SUMIFS('[7]TABLO-1'!T4:T32873,'[7]TABLO-1'!H4:H32873,"=Dağıtım-AG",'[7]TABLO-1'!K4:K32873,"=Bildirimsiz",'[7]TABLO-1'!I4:I32873,"=Kısa",'[7]TABLO-1'!D4:D32873,"=MERİÇ")/P14</f>
        <v>1.7325723603750509E-2</v>
      </c>
      <c r="K58" s="10">
        <f>IFERROR((((I58*$P$8)+(J58*$P$14))/$P$23),"0,00")</f>
        <v>1.682169008509796E-2</v>
      </c>
      <c r="L58" s="11">
        <f>IFERROR((((E58*$P$17)+(H58*$P$20)+(K58*$P$23))/$P$26),"0,00")</f>
        <v>8.7728351739085539E-3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0.5</v>
      </c>
      <c r="G59" s="10">
        <f t="shared" si="20"/>
        <v>3.0814410480349346</v>
      </c>
      <c r="H59" s="10">
        <f t="shared" si="20"/>
        <v>3.0502588438308886</v>
      </c>
      <c r="I59" s="10">
        <f t="shared" si="20"/>
        <v>1.2040816326530612</v>
      </c>
      <c r="J59" s="10">
        <f t="shared" si="20"/>
        <v>1.7564207093355075</v>
      </c>
      <c r="K59" s="10">
        <f t="shared" si="20"/>
        <v>1.7403522659806054</v>
      </c>
      <c r="L59" s="10">
        <f t="shared" si="20"/>
        <v>2.3671173495716795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56</v>
      </c>
      <c r="G65" s="27">
        <f>P13</f>
        <v>4580</v>
      </c>
      <c r="H65" s="17">
        <f>SUM(F65:G65)</f>
        <v>4636</v>
      </c>
      <c r="I65" s="17">
        <f>P8</f>
        <v>147</v>
      </c>
      <c r="J65" s="27">
        <f>P14</f>
        <v>4906</v>
      </c>
      <c r="K65" s="17">
        <f>SUM(I65:J65)</f>
        <v>5053</v>
      </c>
      <c r="L65" s="17">
        <f>H65+E65+K65</f>
        <v>9689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Q71"/>
  <sheetViews>
    <sheetView zoomScale="70" zoomScaleNormal="70" workbookViewId="0">
      <selection activeCell="O33" sqref="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İşletmecisi",'[7]TABLO-1'!K4:K32873,"=Bildirimsiz",'[7]TABLO-1'!I4:I32873,"=Uzun",'[7]TABLO-1'!D4:D32873,"=SÜLEYMANPAŞA")/P6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İşletmecisi",'[7]TABLO-1'!K4:K32873,"=Bildirimsiz",'[7]TABLO-1'!I4:I32873,"=Uzun",'[7]TABLO-1'!D4:D32873,"=SÜLEYMANPAŞA")/P12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İşletmecisi",'[7]TABLO-1'!K4:K32873,"=Bildirimsiz",'[7]TABLO-1'!I4:I32873,"=Uzun",'[7]TABLO-1'!D4:D32873,"=SÜLEYMANPAŞA")/P7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İşletmecisi",'[7]TABLO-1'!K4:K32873,"=Bildirimsiz",'[7]TABLO-1'!I4:I32873,"=Uzun",'[7]TABLO-1'!D4:D32873,"=SÜLEYMANPAŞA")/P13</f>
        <v>#DIV/0!</v>
      </c>
      <c r="I6" s="10" t="str">
        <f>IFERROR((((G6*$P$7)+(H6*$P$13))/$P$20),"0,00")</f>
        <v>0,00</v>
      </c>
      <c r="J6" s="10" t="e">
        <f>SUMIFS('[7]TABLO-1'!Y4:Y32873,'[7]TABLO-1'!H4:H32873,"=İletim",'[7]TABLO-1'!J4:J32873,"=Şebeke İşletmecisi",'[7]TABLO-1'!K4:K32873,"=Bildirimsiz",'[7]TABLO-1'!I4:I32873,"=Uzun",'[7]TABLO-1'!D4:D32873,"=SÜLEYMANPAŞA")/P8</f>
        <v>#DIV/0!</v>
      </c>
      <c r="K6" s="10" t="e">
        <f>SUMIFS('[7]TABLO-1'!Z4:Z32873,'[7]TABLO-1'!H4:H32873,"=İletim",'[7]TABLO-1'!J4:J32873,"=Şebeke İşletmecisi",'[7]TABLO-1'!K4:K32873,"=Bildirimsiz",'[7]TABLO-1'!I4:I32873,"=Uzun",'[7]TABLO-1'!D4:D32873,"=SÜLEYMANPAŞA")/P14</f>
        <v>#DIV/0!</v>
      </c>
      <c r="L6" s="10" t="str">
        <f>IFERROR((((J6*$P$8)+(K6*$P$14))/$P$23),"0,00")</f>
        <v>0,00</v>
      </c>
      <c r="M6" s="11">
        <f>IFERROR((((F6*$P$17)+(I6*$P$20)+(L6*$P$23))/$P$26),"0,00")</f>
        <v>0</v>
      </c>
      <c r="O6" s="20" t="s">
        <v>33</v>
      </c>
      <c r="P6" s="40">
        <v>1076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Sebep",'[7]TABLO-1'!K4:K32873,"=Bildirimsiz",'[7]TABLO-1'!I4:I32873,"=Uzun",'[7]TABLO-1'!D4:D32873,"=SÜLEYMANPAŞA")/P6</f>
        <v>0</v>
      </c>
      <c r="E7" s="10">
        <f>SUMIFS('[7]TABLO-1'!V4:V32873,'[7]TABLO-1'!H4:H32873,"=İletim",'[7]TABLO-1'!J4:J32873,"=Mücbir Sebep",'[7]TABLO-1'!K4:K32873,"=Bildirimsiz",'[7]TABLO-1'!I4:I32873,"=Uzun",'[7]TABLO-1'!D4:D32873,"=SÜLEYMANPAŞA")/P12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Sebep",'[7]TABLO-1'!K4:K32873,"=Bildirimsiz",'[7]TABLO-1'!I4:I32873,"=Uzun",'[7]TABLO-1'!D4:D32873,"=SÜLEYMANPAŞA")/P7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Sebep",'[7]TABLO-1'!K4:K32873,"=Bildirimsiz",'[7]TABLO-1'!I4:I32873,"=Uzun",'[7]TABLO-1'!D4:D32873,"=SÜLEYMANPAŞA")/P13</f>
        <v>#DIV/0!</v>
      </c>
      <c r="I7" s="10" t="str">
        <f t="shared" ref="I7:I15" si="1">IFERROR((((G7*$P$7)+(H7*$P$13))/$P$20),"0,00")</f>
        <v>0,00</v>
      </c>
      <c r="J7" s="10" t="e">
        <f>SUMIFS('[7]TABLO-1'!Y4:Y32873,'[7]TABLO-1'!H4:H32873,"=İletim",'[7]TABLO-1'!J4:J32873,"=Mücbir Sebep",'[7]TABLO-1'!K4:K32873,"=Bildirimsiz",'[7]TABLO-1'!I4:I32873,"=Uzun",'[7]TABLO-1'!D4:D32873,"=SÜLEYMANPAŞA")/P8</f>
        <v>#DIV/0!</v>
      </c>
      <c r="K7" s="10" t="e">
        <f>SUMIFS('[7]TABLO-1'!Z4:Z32873,'[7]TABLO-1'!H4:H32873,"=İletim",'[7]TABLO-1'!J4:J32873,"=Mücbir Sebep",'[7]TABLO-1'!K4:K32873,"=Bildirimsiz",'[7]TABLO-1'!I4:I32873,"=Uzun",'[7]TABLO-1'!D4:D32873,"=SÜLEYMANPAŞA")/P14</f>
        <v>#DIV/0!</v>
      </c>
      <c r="L7" s="10" t="str">
        <f t="shared" ref="L7:L15" si="2">IFERROR((((J7*$P$8)+(K7*$P$14))/$P$23),"0,00")</f>
        <v>0,00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İşletmecisi",'[7]TABLO-1'!K4:K32873,"=Bildirimsiz",'[7]TABLO-1'!I4:I32873,"=Uzun",'[7]TABLO-1'!D4:D32873,"=SÜLEYMANPAŞA")/P6</f>
        <v>5.3468401487990276</v>
      </c>
      <c r="E8" s="10">
        <f>SUMIFS('[7]TABLO-1'!V4:V32873,'[7]TABLO-1'!H4:H32873,"=Dağıtım-OG",'[7]TABLO-1'!J4:J32873,"=Şebeke İşletmecisi",'[7]TABLO-1'!K4:K32873,"=Bildirimsiz",'[7]TABLO-1'!I4:I32873,"=Uzun",'[7]TABLO-1'!D4:D32873,"=SÜLEYMANPAŞA")/P12</f>
        <v>8.3501739707368223</v>
      </c>
      <c r="F8" s="10">
        <f t="shared" si="0"/>
        <v>8.328678063646624</v>
      </c>
      <c r="G8" s="10" t="e">
        <f>SUMIFS('[7]TABLO-1'!W4:W32873,'[7]TABLO-1'!H4:H32873,"=Dağıtım-OG",'[7]TABLO-1'!J4:J32873,"=Şebeke İşletmecisi",'[7]TABLO-1'!K4:K32873,"=Bildirimsiz",'[7]TABLO-1'!I4:I32873,"=Uzun",'[7]TABLO-1'!D4:D32873,"=SÜLEYMANPAŞA")/P7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İşletmecisi",'[7]TABLO-1'!K4:K32873,"=Bildirimsiz",'[7]TABLO-1'!I4:I32873,"=Uzun",'[7]TABLO-1'!D4:D32873,"=SÜLEYMANPAŞA")/P13</f>
        <v>#DIV/0!</v>
      </c>
      <c r="I8" s="10" t="str">
        <f t="shared" si="1"/>
        <v>0,00</v>
      </c>
      <c r="J8" s="10" t="e">
        <f>SUMIFS('[7]TABLO-1'!Y4:Y32873,'[7]TABLO-1'!H4:H32873,"=Dağıtım-OG",'[7]TABLO-1'!J4:J32873,"=Şebeke İşletmecisi",'[7]TABLO-1'!K4:K32873,"=Bildirimsiz",'[7]TABLO-1'!I4:I32873,"=Uzun",'[7]TABLO-1'!D4:D32873,"=SÜLEYMANPAŞA")/P8</f>
        <v>#DIV/0!</v>
      </c>
      <c r="K8" s="10" t="e">
        <f>SUMIFS('[7]TABLO-1'!Z4:Z32873,'[7]TABLO-1'!H4:H32873,"=Dağıtım-OG",'[7]TABLO-1'!J4:J32873,"=Şebeke İşletmecisi",'[7]TABLO-1'!K4:K32873,"=Bildirimsiz",'[7]TABLO-1'!I4:I32873,"=Uzun",'[7]TABLO-1'!D4:D32873,"=SÜLEYMANPAŞA")/P14</f>
        <v>#DIV/0!</v>
      </c>
      <c r="L8" s="10" t="str">
        <f t="shared" si="2"/>
        <v>0,00</v>
      </c>
      <c r="M8" s="11">
        <f t="shared" si="3"/>
        <v>8.328678063646624</v>
      </c>
      <c r="O8" s="20" t="s">
        <v>36</v>
      </c>
      <c r="P8" s="53">
        <v>0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SUMIFS('[7]TABLO-1'!U4:U32873,'[7]TABLO-1'!H4:H32873,"=Dağıtım-OG",'[7]TABLO-1'!J4:J32873,"=Dışsal",'[7]TABLO-1'!K4:K32873,"=Bildirimsiz",'[7]TABLO-1'!I4:I32873,"=Uzun",'[7]TABLO-1'!D4:D32873,"=SÜLEYMANPAŞA")/P6</f>
        <v>1.0354708798143573</v>
      </c>
      <c r="E9" s="10">
        <f>SUMIFS('[7]TABLO-1'!V4:V32873,'[7]TABLO-1'!H4:H32873,"=Dağıtım-OG",'[7]TABLO-1'!J4:J32873,"=Dışsal",'[7]TABLO-1'!K4:K32873,"=Bildirimsiz",'[7]TABLO-1'!I4:I32873,"=Uzun",'[7]TABLO-1'!D4:D32873,"=SÜLEYMANPAŞA")/P12</f>
        <v>1.8128443399502325E-2</v>
      </c>
      <c r="F9" s="10">
        <f t="shared" si="0"/>
        <v>2.5409917850444448E-2</v>
      </c>
      <c r="G9" s="10" t="e">
        <f>SUMIFS('[7]TABLO-1'!W4:W32873,'[7]TABLO-1'!H4:H32873,"=Dağıtım-OG",'[7]TABLO-1'!J4:J32873,"=Dışsal",'[7]TABLO-1'!K4:K32873,"=Bildirimsiz",'[7]TABLO-1'!I4:I32873,"=Uzun",'[7]TABLO-1'!D4:D32873,"=SÜLEYMANPAŞA")/P7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SUMIFS('[7]TABLO-1'!X4:X32873,'[7]TABLO-1'!H4:H32873,"=Dağıtım-OG",'[7]TABLO-1'!J4:J32873,"=Dışsal",'[7]TABLO-1'!K4:K32873,"=Bildirimsiz",'[7]TABLO-1'!I4:I32873,"=Uzun",'[7]TABLO-1'!D4:D32873,"=SÜLEYMANPAŞA")/P13</f>
        <v>#DIV/0!</v>
      </c>
      <c r="I9" s="10" t="str">
        <f t="shared" si="1"/>
        <v>0,00</v>
      </c>
      <c r="J9" s="10" t="e">
        <f>SUMIFS('[7]TABLO-1'!Y4:Y32873,'[7]TABLO-1'!H4:H32873,"=Dağıtım-OG",'[7]TABLO-1'!J4:J32873,"=Dışsal",'[7]TABLO-1'!K4:K32873,"=Bildirimsiz",'[7]TABLO-1'!I4:I32873,"=Uzun",'[7]TABLO-1'!D4:D32873,"=SÜLEYMANPAŞA")/P8</f>
        <v>#DIV/0!</v>
      </c>
      <c r="K9" s="10" t="e">
        <f>SUMIFS('[7]TABLO-1'!Z4:Z32873,'[7]TABLO-1'!H4:H32873,"=Dağıtım-OG",'[7]TABLO-1'!J4:J32873,"=Dışsal",'[7]TABLO-1'!K4:K32873,"=Bildirimsiz",'[7]TABLO-1'!I4:I32873,"=Uzun",'[7]TABLO-1'!D4:D32873,"=SÜLEYMANPAŞA")/P14</f>
        <v>#DIV/0!</v>
      </c>
      <c r="L9" s="10" t="str">
        <f t="shared" si="2"/>
        <v>0,00</v>
      </c>
      <c r="M9" s="11">
        <f t="shared" si="3"/>
        <v>2.5409917850444448E-2</v>
      </c>
      <c r="O9" s="20" t="s">
        <v>17</v>
      </c>
      <c r="P9" s="53">
        <f>P6+P7+P8</f>
        <v>1076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Sebep",'[7]TABLO-1'!K4:K32873,"=Bildirimsiz",'[7]TABLO-1'!I4:I32873,"=Uzun",'[7]TABLO-1'!D4:D32873,"=SÜLEYMANPAŞA")/P6</f>
        <v>0</v>
      </c>
      <c r="E10" s="10">
        <f>SUMIFS('[7]TABLO-1'!V4:V32873,'[7]TABLO-1'!H4:H32873,"=Dağıtım-OG",'[7]TABLO-1'!J4:J32873,"=Mücbir Sebep",'[7]TABLO-1'!K4:K32873,"=Bildirimsiz",'[7]TABLO-1'!I4:I32873,"=Uzun",'[7]TABLO-1'!D4:D32873,"=SÜLEYMANPAŞA")/P12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Sebep",'[7]TABLO-1'!K4:K32873,"=Bildirimsiz",'[7]TABLO-1'!I4:I32873,"=Uzun",'[7]TABLO-1'!D4:D32873,"=SÜLEYMANPAŞA")/P7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Sebep",'[7]TABLO-1'!K4:K32873,"=Bildirimsiz",'[7]TABLO-1'!I4:I32873,"=Uzun",'[7]TABLO-1'!D4:D32873,"=SÜLEYMANPAŞA")/P13</f>
        <v>#DIV/0!</v>
      </c>
      <c r="I10" s="10" t="str">
        <f t="shared" si="1"/>
        <v>0,00</v>
      </c>
      <c r="J10" s="10" t="e">
        <f>SUMIFS('[7]TABLO-1'!Y4:Y32873,'[7]TABLO-1'!H4:H32873,"=Dağıtım-OG",'[7]TABLO-1'!J4:J32873,"=Mücbir Sebep",'[7]TABLO-1'!K4:K32873,"=Bildirimsiz",'[7]TABLO-1'!I4:I32873,"=Uzun",'[7]TABLO-1'!D4:D32873,"=SÜLEYMANPAŞA")/P8</f>
        <v>#DIV/0!</v>
      </c>
      <c r="K10" s="10" t="e">
        <f>SUMIFS('[7]TABLO-1'!Z4:Z32873,'[7]TABLO-1'!H4:H32873,"=Dağıtım-OG",'[7]TABLO-1'!J4:J32873,"=Mücbir Sebep",'[7]TABLO-1'!K4:K32873,"=Bildirimsiz",'[7]TABLO-1'!I4:I32873,"=Uzun",'[7]TABLO-1'!D4:D32873,"=SÜLEYMANPAŞA")/P14</f>
        <v>#DIV/0!</v>
      </c>
      <c r="L10" s="10" t="str">
        <f t="shared" si="2"/>
        <v>0,00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SUMIFS('[7]TABLO-1'!U4:U32873,'[7]TABLO-1'!H4:H32873,"=Dağıtım-OG",'[7]TABLO-1'!J4:J32873,"=Güvenlik",'[7]TABLO-1'!K4:K32873,"=Bildirimsiz",'[7]TABLO-1'!I4:I32873,"=Uzun",'[7]TABLO-1'!D4:D32873,"=SÜLEYMANPAŞA")/P6</f>
        <v>0</v>
      </c>
      <c r="E11" s="10">
        <f>SUMIFS('[7]TABLO-1'!V4:V32873,'[7]TABLO-1'!H4:H32873,"=Dağıtım-OG",'[7]TABLO-1'!J4:J32873,"=Güvenlik",'[7]TABLO-1'!K4:K32873,"=Bildirimsiz",'[7]TABLO-1'!I4:I32873,"=Uzun",'[7]TABLO-1'!D4:D32873,"=SÜLEYMANPAŞA")/P12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SUMIFS('[7]TABLO-1'!W4:W32873,'[7]TABLO-1'!H4:H32873,"=Dağıtım-OG",'[7]TABLO-1'!J4:J32873,"=Güvenlik",'[7]TABLO-1'!K4:K32873,"=Bildirimsiz",'[7]TABLO-1'!I4:I32873,"=Uzun",'[7]TABLO-1'!D4:D32873,"=SÜLEYMANPAŞA")/P7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SUMIFS('[7]TABLO-1'!X4:X32873,'[7]TABLO-1'!H4:H32873,"=Dağıtım-OG",'[7]TABLO-1'!J4:J32873,"=Güvenlik",'[7]TABLO-1'!K4:K32873,"=Bildirimsiz",'[7]TABLO-1'!I4:I32873,"=Uzun",'[7]TABLO-1'!D4:D32873,"=SÜLEYMANPAŞA")/P13</f>
        <v>#DIV/0!</v>
      </c>
      <c r="I11" s="10" t="str">
        <f t="shared" si="1"/>
        <v>0,00</v>
      </c>
      <c r="J11" s="10" t="e">
        <f>SUMIFS('[7]TABLO-1'!Y4:Y32873,'[7]TABLO-1'!H4:H32873,"=Dağıtım-OG",'[7]TABLO-1'!J4:J32873,"=Güvenlik",'[7]TABLO-1'!K4:K32873,"=Bildirimsiz",'[7]TABLO-1'!I4:I32873,"=Uzun",'[7]TABLO-1'!D4:D32873,"=SÜLEYMANPAŞA")/P8</f>
        <v>#DIV/0!</v>
      </c>
      <c r="K11" s="10" t="e">
        <f>SUMIFS('[7]TABLO-1'!Z4:Z32873,'[7]TABLO-1'!H4:H32873,"=Dağıtım-OG",'[7]TABLO-1'!J4:J32873,"=Güvenlik",'[7]TABLO-1'!K4:K32873,"=Bildirimsiz",'[7]TABLO-1'!I4:I32873,"=Uzun",'[7]TABLO-1'!D4:D32873,"=SÜLEYMANPAŞA")/P14</f>
        <v>#DIV/0!</v>
      </c>
      <c r="L11" s="10" t="str">
        <f t="shared" si="2"/>
        <v>0,00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İşletmecisi",'[7]TABLO-1'!K4:K32873,"=Bildirimsiz",'[7]TABLO-1'!I4:I32873,"=Uzun",'[7]TABLO-1'!D4:D32873,"=SÜLEYMANPAŞA")/P6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işletmecisi",'[7]TABLO-1'!K4:K32873,"=Bildirimsiz",'[7]TABLO-1'!I4:I32873,"=Uzun",'[7]TABLO-1'!D4:D32873,"=SÜLEYMANPAŞA")/P12</f>
        <v>2.8537614705678469</v>
      </c>
      <c r="F12" s="10">
        <f t="shared" si="0"/>
        <v>2.8333361049355523</v>
      </c>
      <c r="G12" s="12" t="e">
        <f>SUMIFS('[7]TABLO-1'!W4:W32873,'[7]TABLO-1'!H4:H32873,"=Dağıtım-AG",'[7]TABLO-1'!J4:J32873,"=Şebeke İşletmecisi",'[7]TABLO-1'!K4:K32873,"=Bildirimsiz",'[7]TABLO-1'!I4:I32873,"=Uzun",'[7]TABLO-1'!D4:D32873,"=SÜLEYMANPAŞA")/P7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İşletmecisi",'[7]TABLO-1'!K4:K32873,"=Bildirimsiz",'[7]TABLO-1'!I4:I32873,"=Uzun",'[7]TABLO-1'!D4:D32873,"=SÜLEYMANPAŞA")/P13</f>
        <v>#DIV/0!</v>
      </c>
      <c r="I12" s="10" t="str">
        <f t="shared" si="1"/>
        <v>0,00</v>
      </c>
      <c r="J12" s="12" t="e">
        <f>SUMIFS('[7]TABLO-1'!Y4:Y32873,'[7]TABLO-1'!H4:H32873,"=Dağıtım-AG",'[7]TABLO-1'!J4:J32873,"=Şebeke İşletmecisi",'[7]TABLO-1'!K4:K32873,"=Bildirimsiz",'[7]TABLO-1'!I4:I32873,"=Uzun",'[7]TABLO-1'!D4:D32873,"=SÜLEYMANPAŞA")/P8</f>
        <v>#DIV/0!</v>
      </c>
      <c r="K12" s="10" t="e">
        <f>SUMIFS('[7]TABLO-1'!Z4:Z32873,'[7]TABLO-1'!H4:H32873,"=Dağıtım-AG",'[7]TABLO-1'!J4:J32873,"=Şebeke İşletmecisi",'[7]TABLO-1'!K4:K32873,"=Bildirimsiz",'[7]TABLO-1'!I4:I32873,"=Uzun",'[7]TABLO-1'!D4:D32873,"=SÜLEYMANPAŞA")/P14</f>
        <v>#DIV/0!</v>
      </c>
      <c r="L12" s="10" t="str">
        <f t="shared" si="2"/>
        <v>0,00</v>
      </c>
      <c r="M12" s="11">
        <f t="shared" si="3"/>
        <v>2.8333361049355523</v>
      </c>
      <c r="O12" s="6" t="s">
        <v>33</v>
      </c>
      <c r="P12" s="42">
        <v>149259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SUMIFS('[7]TABLO-1'!U4:U32873,'[7]TABLO-1'!H4:H32873,"=Dağıtım-AG",'[7]TABLO-1'!J4:J32873,"=Dışsal",'[7]TABLO-1'!K4:K32873,"=Bildirimsiz",'[7]TABLO-1'!I4:I32873,"=Uzun",'[7]TABLO-1'!D4:D32873,"=SÜLEYMANPAŞA")/P6</f>
        <v>0</v>
      </c>
      <c r="E13" s="10">
        <f>SUMIFS('[7]TABLO-1'!V4:V32873,'[7]TABLO-1'!H4:H32873,"=Dağıtım-AG",'[7]TABLO-1'!J4:J32873,"=Dışsal",'[7]TABLO-1'!K4:K32873,"=Bildirimsiz",'[7]TABLO-1'!I4:I32873,"=Uzun",'[7]TABLO-1'!D4:D32873,"=SÜLEYMANPAŞA")/P12</f>
        <v>0.27705141175220827</v>
      </c>
      <c r="F13" s="10">
        <f t="shared" si="0"/>
        <v>0.27506845822145781</v>
      </c>
      <c r="G13" s="12" t="e">
        <f>SUMIFS('[7]TABLO-1'!W4:W32873,'[7]TABLO-1'!H4:H32873,"=Dağıtım-AG",'[7]TABLO-1'!J4:J32873,"=Dışsal",'[7]TABLO-1'!K4:K32873,"=Bildirimsiz",'[7]TABLO-1'!I4:I32873,"=Uzun",'[7]TABLO-1'!D4:D32873,"=SÜLEYMANPAŞA")/P7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SUMIFS('[7]TABLO-1'!X4:X32873,'[7]TABLO-1'!H4:H32873,"=Dağıtım-AG",'[7]TABLO-1'!J4:J32873,"=Dışsal",'[7]TABLO-1'!K4:K32873,"=Bildirimsiz",'[7]TABLO-1'!I4:I32873,"=Uzun",'[7]TABLO-1'!D4:D32873,"=SÜLEYMANPAŞA")/P13</f>
        <v>#DIV/0!</v>
      </c>
      <c r="I13" s="10" t="str">
        <f t="shared" si="1"/>
        <v>0,00</v>
      </c>
      <c r="J13" s="12" t="e">
        <f>SUMIFS('[7]TABLO-1'!Y4:Y32873,'[7]TABLO-1'!H4:H32873,"=Dağıtım-AG",'[7]TABLO-1'!J4:J32873,"=Dışsal",'[7]TABLO-1'!K4:K32873,"=Bildirimsiz",'[7]TABLO-1'!I4:I32873,"=Uzun",'[7]TABLO-1'!D4:D32873,"=SÜLEYMANPAŞA")/P8</f>
        <v>#DIV/0!</v>
      </c>
      <c r="K13" s="10" t="e">
        <f>SUMIFS('[7]TABLO-1'!Z4:Z32873,'[7]TABLO-1'!H4:H32873,"=Dağıtım-AG",'[7]TABLO-1'!J4:J32873,"=Dışsal",'[7]TABLO-1'!K4:K32873,"=Bildirimsiz",'[7]TABLO-1'!I4:I32873,"=Uzun",'[7]TABLO-1'!D4:D32873,"=SÜLEYMANPAŞA")/P14</f>
        <v>#DIV/0!</v>
      </c>
      <c r="L13" s="10" t="str">
        <f t="shared" si="2"/>
        <v>0,00</v>
      </c>
      <c r="M13" s="11">
        <f t="shared" si="3"/>
        <v>0.27506845822145781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Sebep",'[7]TABLO-1'!K4:K32873,"=Bildirimsiz",'[7]TABLO-1'!I4:I32873,"=Uzun",'[7]TABLO-1'!D4:D32873,"=SÜLEYMANPAŞA")/P6</f>
        <v>0</v>
      </c>
      <c r="E14" s="10">
        <f>SUMIFS('[7]TABLO-1'!V4:V32873,'[7]TABLO-1'!H4:H32873,"=Dağıtım-AG",'[7]TABLO-1'!J4:J32873,"=Mücbir Sebep",'[7]TABLO-1'!K4:K32873,"=Bildirimsiz",'[7]TABLO-1'!I4:I32873,"=Uzun",'[7]TABLO-1'!D4:D32873,"=SÜLEYMANPAŞA")/P12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Sebep",'[7]TABLO-1'!K4:K32873,"=Bildirimsiz",'[7]TABLO-1'!I4:I32873,"=Uzun",'[7]TABLO-1'!D4:D32873,"=SÜLEYMANPAŞA")/P7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Sebep",'[7]TABLO-1'!K4:K32873,"=Bildirimsiz",'[7]TABLO-1'!I4:I32873,"=Uzun",'[7]TABLO-1'!D4:D32873,"=SÜLEYMANPAŞA")/P13</f>
        <v>#DIV/0!</v>
      </c>
      <c r="I14" s="10" t="str">
        <f t="shared" si="1"/>
        <v>0,00</v>
      </c>
      <c r="J14" s="12" t="e">
        <f>SUMIFS('[7]TABLO-1'!Y4:Y32873,'[7]TABLO-1'!H4:H32873,"=Dağıtım-AG",'[7]TABLO-1'!J4:J32873,"=Mücbir Sebep",'[7]TABLO-1'!K4:K32873,"=Bildirimsiz",'[7]TABLO-1'!I4:I32873,"=Uzun",'[7]TABLO-1'!D4:D32873,"=SÜLEYMANPAŞA")/P8</f>
        <v>#DIV/0!</v>
      </c>
      <c r="K14" s="10" t="e">
        <f>SUMIFS('[7]TABLO-1'!Z4:Z32873,'[7]TABLO-1'!H4:H32873,"=Dağıtım-AG",'[7]TABLO-1'!J4:J32873,"=Mücbir Sebep",'[7]TABLO-1'!K4:K32873,"=Bildirimsiz",'[7]TABLO-1'!I4:I32873,"=Uzun",'[7]TABLO-1'!D4:D32873,"=SÜLEYMANPAŞA")/P14</f>
        <v>#DIV/0!</v>
      </c>
      <c r="L14" s="10" t="str">
        <f t="shared" si="2"/>
        <v>0,00</v>
      </c>
      <c r="M14" s="11">
        <f t="shared" si="3"/>
        <v>0</v>
      </c>
      <c r="O14" s="6" t="s">
        <v>36</v>
      </c>
      <c r="P14" s="42">
        <v>0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SUMIFS('[7]TABLO-1'!U4:U32873,'[7]TABLO-1'!H4:H32873,"=Dağıtım-AG",'[7]TABLO-1'!J4:J32873,"=Güvenlik",'[7]TABLO-1'!K4:K32873,"=Bildirimsiz",'[7]TABLO-1'!I4:I32873,"=Uzun",'[7]TABLO-1'!D4:D32873,"=SÜLEYMANPAŞA")/P6</f>
        <v>0</v>
      </c>
      <c r="E15" s="10">
        <f>SUMIFS('[7]TABLO-1'!V4:V32873,'[7]TABLO-1'!H4:H32873,"=Dağıtım-AG",'[7]TABLO-1'!J4:J32873,"=Güvenlik",'[7]TABLO-1'!K4:K32873,"=Bildirimsiz",'[7]TABLO-1'!I4:I32873,"=Uzun",'[7]TABLO-1'!D4:D32873,"=SÜLEYMANPAŞA")/P12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SUMIFS('[7]TABLO-1'!W4:W32873,'[7]TABLO-1'!H4:H32873,"=Dağıtım-AG",'[7]TABLO-1'!J4:J32873,"=Güvenlik",'[7]TABLO-1'!K4:K32873,"=Bildirimsiz",'[7]TABLO-1'!I4:I32873,"=Uzun",'[7]TABLO-1'!D4:D32873,"=SÜLEYMANPAŞA")/P7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SUMIFS('[7]TABLO-1'!X4:X32873,'[7]TABLO-1'!H4:H32873,"=Dağıtım-AG",'[7]TABLO-1'!J4:J32873,"=Güvenlik",'[7]TABLO-1'!K4:K32873,"=Bildirimsiz",'[7]TABLO-1'!I4:I32873,"=Uzun",'[7]TABLO-1'!D4:D32873,"=SÜLEYMANPAŞA")/P13</f>
        <v>#DIV/0!</v>
      </c>
      <c r="I15" s="10" t="str">
        <f t="shared" si="1"/>
        <v>0,00</v>
      </c>
      <c r="J15" s="12" t="e">
        <f>SUMIFS('[7]TABLO-1'!Y4:Y32873,'[7]TABLO-1'!H4:H32873,"=Dağıtım-AG",'[7]TABLO-1'!J4:J32873,"=Güvenlik",'[7]TABLO-1'!K4:K32873,"=Bildirimsiz",'[7]TABLO-1'!I4:I32873,"=Uzun",'[7]TABLO-1'!D4:D32873,"=SÜLEYMANPAŞA")/P8</f>
        <v>#DIV/0!</v>
      </c>
      <c r="K15" s="10" t="e">
        <f>SUMIFS('[7]TABLO-1'!Z4:Z32873,'[7]TABLO-1'!H4:H32873,"=Dağıtım-AG",'[7]TABLO-1'!J4:J32873,"=Güvenlik",'[7]TABLO-1'!K4:K32873,"=Bildirimsiz",'[7]TABLO-1'!I4:I32873,"=Uzun",'[7]TABLO-1'!D4:D32873,"=SÜLEYMANPAŞA")/P14</f>
        <v>#DIV/0!</v>
      </c>
      <c r="L15" s="10" t="str">
        <f t="shared" si="2"/>
        <v>0,00</v>
      </c>
      <c r="M15" s="11">
        <f t="shared" si="3"/>
        <v>0</v>
      </c>
      <c r="O15" s="6" t="s">
        <v>17</v>
      </c>
      <c r="P15" s="42">
        <f>SUM(P12:P14)</f>
        <v>149259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6.3823110286133851</v>
      </c>
      <c r="E16" s="10">
        <f t="shared" si="4"/>
        <v>11.499115296456379</v>
      </c>
      <c r="F16" s="10">
        <f t="shared" si="4"/>
        <v>11.462492544654079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 t="e">
        <f>SUM(J6:J15)</f>
        <v>#DIV/0!</v>
      </c>
      <c r="K16" s="10" t="e">
        <f>SUM(K6:K15)</f>
        <v>#DIV/0!</v>
      </c>
      <c r="L16" s="10">
        <f>SUM(L6:L15)</f>
        <v>0</v>
      </c>
      <c r="M16" s="11">
        <f t="shared" si="4"/>
        <v>11.462492544654079</v>
      </c>
    </row>
    <row r="17" spans="2:16" ht="15" customHeight="1" x14ac:dyDescent="0.25">
      <c r="B17" s="29"/>
      <c r="O17" s="50" t="s">
        <v>37</v>
      </c>
      <c r="P17" s="47">
        <f>P6+P12</f>
        <v>150335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İşletmecisi",'[7]TABLO-1'!K4:K32873,"=Bildirimli",'[7]TABLO-1'!I4:I32873,"=Uzun",'[7]TABLO-1'!D4:D32873,"=SÜLEYMANPAŞA")/P6</f>
        <v>0.40085192069542841</v>
      </c>
      <c r="E21" s="10">
        <f>SUMIFS('[7]TABLO-1'!V4:V32873,'[7]TABLO-1'!H4:H32873,"=İletim",'[7]TABLO-1'!J4:J32873,"=Şebeke İşletmecisi",'[7]TABLO-1'!K4:K32873,"=Bildirimli",'[7]TABLO-1'!I4:I32873,"=Uzun",'[7]TABLO-1'!D4:D32873,"=SÜLEYMANPAŞA")/P12</f>
        <v>0.23406729242545346</v>
      </c>
      <c r="F21" s="10">
        <f>IFERROR((((D21*$P$6)+(E21*$P$12))/$P$17),"0,00")</f>
        <v>0.23526102814912719</v>
      </c>
      <c r="G21" s="10" t="e">
        <f>SUMIFS('[7]TABLO-1'!W4:W32873,'[7]TABLO-1'!H4:H32873,"=İletim",'[7]TABLO-1'!J4:J32873,"=Şebeke İşletmecisi",'[7]TABLO-1'!K4:K32873,"=Bildirimli",'[7]TABLO-1'!I4:I32873,"=Uzun",'[7]TABLO-1'!D4:D32873,"=SÜLEYMANPAŞA")/P7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İşletmecisi",'[7]TABLO-1'!K4:K32873,"=Bildirimli",'[7]TABLO-1'!I4:I32873,"=Uzun",'[7]TABLO-1'!D4:D32873,"=SÜLEYMANPAŞA")/P13</f>
        <v>#DIV/0!</v>
      </c>
      <c r="I21" s="10" t="str">
        <f>IFERROR((((G21*$P$7)+(H21*$P$13))/$P$20),"0,00")</f>
        <v>0,00</v>
      </c>
      <c r="J21" s="10" t="e">
        <f>SUMIFS('[7]TABLO-1'!Y4:Y32873,'[7]TABLO-1'!H4:H32873,"=İletim",'[7]TABLO-1'!J4:J32873,"=Şebeke İşletmecisi",'[7]TABLO-1'!K4:K32873,"=Bildirimli",'[7]TABLO-1'!I4:I32873,"=Uzun",'[7]TABLO-1'!D4:D32873,"=SÜLEYMANPAŞA")/P8</f>
        <v>#DIV/0!</v>
      </c>
      <c r="K21" s="10" t="e">
        <f>SUMIFS('[7]TABLO-1'!Z4:Z32873,'[7]TABLO-1'!H4:H32873,"=İletim",'[7]TABLO-1'!J4:J32873,"=Şebeke İşletmecisi",'[7]TABLO-1'!K4:K32873,"=Bildirimli",'[7]TABLO-1'!I4:I32873,"=Uzun",'[7]TABLO-1'!D4:D32873,"=SÜLEYMANPAŞA")/P14</f>
        <v>#DIV/0!</v>
      </c>
      <c r="L21" s="10" t="str">
        <f>IFERROR((((J21*$P$8)+(K21*$P$14))/$P$23),"0,00")</f>
        <v>0,00</v>
      </c>
      <c r="M21" s="11">
        <f>IFERROR((((F21*$P$17)+(I21*$P$20)+(L21*$P$23))/$P$26),"0,00")</f>
        <v>0.23526102814912719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İşletmecisi",'[7]TABLO-1'!K4:K32873,"=Bildirimli",'[7]TABLO-1'!I4:I32873,"=Uzun",'[7]TABLO-1'!D4:D32873,"=SÜLEYMANPAŞA")/P6</f>
        <v>2.8403810409051764</v>
      </c>
      <c r="E22" s="10">
        <f>SUMIFS('[7]TABLO-1'!V4:V32873,'[7]TABLO-1'!H4:H32873,"=Dağıtım-OG",'[7]TABLO-1'!J4:J32873,"=Şebeke İşletmecisi",'[7]TABLO-1'!K4:K32873,"=Bildirimli",'[7]TABLO-1'!I4:I32873,"=Uzun",'[7]TABLO-1'!D4:D32873,"=SÜLEYMANPAŞA")/P12</f>
        <v>3.5980485825475577</v>
      </c>
      <c r="F22" s="10">
        <f t="shared" ref="F22:F25" si="5">IFERROR((((D22*$P$6)+(E22*$P$12))/$P$17),"0,00")</f>
        <v>3.5926256918380943</v>
      </c>
      <c r="G22" s="10" t="e">
        <f>SUMIFS('[7]TABLO-1'!W4:W32873,'[7]TABLO-1'!H4:H32873,"=Dağıtım-OG",'[7]TABLO-1'!J4:J32873,"=Şebeke İşletmecisi",'[7]TABLO-1'!K4:K32873,"=Bildirimli",'[7]TABLO-1'!I4:I32873,"=Uzun",'[7]TABLO-1'!D4:D32873,"=SÜLEYMANPAŞA")/P7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İşletmecisi",'[7]TABLO-1'!K4:K32873,"=Bildirimli",'[7]TABLO-1'!I4:I32873,"=Uzun",'[7]TABLO-1'!D4:D32873,"=SÜLEYMANPAŞA")/P13</f>
        <v>#DIV/0!</v>
      </c>
      <c r="I22" s="10" t="str">
        <f t="shared" ref="I22:I25" si="6">IFERROR((((G22*$P$7)+(H22*$P$13))/$P$20),"0,00")</f>
        <v>0,00</v>
      </c>
      <c r="J22" s="10" t="e">
        <f>SUMIFS('[7]TABLO-1'!Y4:Y32873,'[7]TABLO-1'!H4:H32873,"=Dağıtım-OG",'[7]TABLO-1'!J4:J32873,"=Şebeke İşletmecisi",'[7]TABLO-1'!K4:K32873,"=Bildirimli",'[7]TABLO-1'!I4:I32873,"=Uzun",'[7]TABLO-1'!D4:D32873,"=SÜLEYMANPAŞA")/P8</f>
        <v>#DIV/0!</v>
      </c>
      <c r="K22" s="10" t="e">
        <f>SUMIFS('[7]TABLO-1'!Z4:Z32873,'[7]TABLO-1'!H4:H32873,"=Dağıtım-OG",'[7]TABLO-1'!J4:J32873,"=Şebeke İşletmecisi",'[7]TABLO-1'!K4:K32873,"=Bildirimli",'[7]TABLO-1'!I4:I32873,"=Uzun",'[7]TABLO-1'!D4:D32873,"=SÜLEYMANPAŞA")/P14</f>
        <v>#DIV/0!</v>
      </c>
      <c r="L22" s="10" t="str">
        <f t="shared" ref="L22:L25" si="7">IFERROR((((J22*$P$8)+(K22*$P$14))/$P$23),"0,00")</f>
        <v>0,00</v>
      </c>
      <c r="M22" s="11">
        <f t="shared" ref="M22:M25" si="8">IFERROR((((F22*$P$17)+(I22*$P$20)+(L22*$P$23))/$P$26),"0,00")</f>
        <v>3.5926256918380943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SUMIFS('[7]TABLO-1'!U4:U32873,'[7]TABLO-1'!H4:H32873,"=Dağıtım-OG",'[7]TABLO-1'!J4:J32873,"=Güvenlik",'[7]TABLO-1'!K4:K32873,"=Bildirimli",'[7]TABLO-1'!I4:I32873,"=Uzun",'[7]TABLO-1'!D4:D32873,"=SÜLEYMANPAŞA")/P6</f>
        <v>0</v>
      </c>
      <c r="E23" s="10">
        <f>SUMIFS('[7]TABLO-1'!V4:V32873,'[7]TABLO-1'!H4:H32873,"=Dağıtım-OG",'[7]TABLO-1'!J4:J32873,"=Güvenlik",'[7]TABLO-1'!K4:K32873,"=Bildirimli",'[7]TABLO-1'!I4:I32873,"=Uzun",'[7]TABLO-1'!D4:D32873,"=SÜLEYMANPAŞA")/P12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SUMIFS('[7]TABLO-1'!W4:W32873,'[7]TABLO-1'!H4:H32873,"=Dağıtım-OG",'[7]TABLO-1'!J4:J32873,"=Güvenlik",'[7]TABLO-1'!K4:K32873,"=Bildirimli",'[7]TABLO-1'!I4:I32873,"=Uzun",'[7]TABLO-1'!D4:D32873,"=SÜLEYMANPAŞA")/P7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SUMIFS('[7]TABLO-1'!X4:X32873,'[7]TABLO-1'!H4:H32873,"=Dağıtım-OG",'[7]TABLO-1'!J4:J32873,"=Güvenlik",'[7]TABLO-1'!K4:K32873,"=Bildirimli",'[7]TABLO-1'!I4:I32873,"=Uzun",'[7]TABLO-1'!D4:D32873,"=SÜLEYMANPAŞA")/P13</f>
        <v>#DIV/0!</v>
      </c>
      <c r="I23" s="10" t="str">
        <f t="shared" si="6"/>
        <v>0,00</v>
      </c>
      <c r="J23" s="10" t="e">
        <f>SUMIFS('[7]TABLO-1'!Y4:Y32873,'[7]TABLO-1'!H4:H32873,"=Dağıtım-OG",'[7]TABLO-1'!J4:J32873,"=Güvenlik",'[7]TABLO-1'!K4:K32873,"=Bildirimli",'[7]TABLO-1'!I4:I32873,"=Uzun",'[7]TABLO-1'!D4:D32873,"=SÜLEYMANPAŞA")/P8</f>
        <v>#DIV/0!</v>
      </c>
      <c r="K23" s="10" t="e">
        <f>SUMIFS('[7]TABLO-1'!Z4:Z32873,'[7]TABLO-1'!H4:H32873,"=Dağıtım-OG",'[7]TABLO-1'!J4:J32873,"=Güvenlik",'[7]TABLO-1'!K4:K32873,"=Bildirimli",'[7]TABLO-1'!I4:I32873,"=Uzun",'[7]TABLO-1'!D4:D32873,"=SÜLEYMANPAŞA")/P14</f>
        <v>#DIV/0!</v>
      </c>
      <c r="L23" s="10" t="str">
        <f t="shared" si="7"/>
        <v>0,00</v>
      </c>
      <c r="M23" s="11">
        <f t="shared" si="8"/>
        <v>0</v>
      </c>
      <c r="O23" s="43" t="s">
        <v>39</v>
      </c>
      <c r="P23" s="47">
        <f>P8+P14</f>
        <v>0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İşletmecisi",'[7]TABLO-1'!K4:K32873,"=Bildirimli",'[7]TABLO-1'!I4:I32873,"=Uzun",'[7]TABLO-1'!D4:D32873,"=SÜLEYMANPAŞA")/P6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İşletmecisi",'[7]TABLO-1'!K4:K32873,"=Bildirimli",'[7]TABLO-1'!I4:I32873,"=Uzun",'[7]TABLO-1'!D4:D32873,"=SÜLEYMANPAŞA")/P12</f>
        <v>0.37473150698048391</v>
      </c>
      <c r="F24" s="10">
        <f t="shared" si="5"/>
        <v>0.37204942295806065</v>
      </c>
      <c r="G24" s="12" t="e">
        <f>SUMIFS('[7]TABLO-1'!W4:W32873,'[7]TABLO-1'!H4:H32873,"=Dağıtım-AG",'[7]TABLO-1'!J4:J32873,"=Şebeke İşletmecisi",'[7]TABLO-1'!K4:K32873,"=Bildirimli",'[7]TABLO-1'!I4:I32873,"=Uzun",'[7]TABLO-1'!D4:D32873,"=SÜLEYMANPAŞA")/P7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İşletmecisi",'[7]TABLO-1'!K4:K32873,"=Bildirimli",'[7]TABLO-1'!I4:I32873,"=Uzun",'[7]TABLO-1'!D4:D32873,"=SÜLEYMANPAŞA")/P13</f>
        <v>#DIV/0!</v>
      </c>
      <c r="I24" s="10" t="str">
        <f t="shared" si="6"/>
        <v>0,00</v>
      </c>
      <c r="J24" s="12" t="e">
        <f>SUMIFS('[7]TABLO-1'!Y4:Y32873,'[7]TABLO-1'!H4:H32873,"=Dağıtım-AG",'[7]TABLO-1'!J4:J32873,"=Şebeke İşletmecisi",'[7]TABLO-1'!K4:K32873,"=Bildirimli",'[7]TABLO-1'!I4:I32873,"=Uzun",'[7]TABLO-1'!D4:D32873,"=SÜLEYMANPAŞA")/P8</f>
        <v>#DIV/0!</v>
      </c>
      <c r="K24" s="10" t="e">
        <f>SUMIFS('[7]TABLO-1'!Z4:Z32873,'[7]TABLO-1'!H4:H32873,"=Dağıtım-AG",'[7]TABLO-1'!J4:J32873,"=Şebeke İşletmecisi",'[7]TABLO-1'!K4:K32873,"=Bildirimli",'[7]TABLO-1'!I4:I32873,"=Uzun",'[7]TABLO-1'!D4:D32873,"=SÜLEYMANPAŞA")/P14</f>
        <v>#DIV/0!</v>
      </c>
      <c r="L24" s="10" t="str">
        <f t="shared" si="7"/>
        <v>0,00</v>
      </c>
      <c r="M24" s="11">
        <f t="shared" si="8"/>
        <v>0.37204942295806065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SUMIFS('[7]TABLO-1'!U4:U32873,'[7]TABLO-1'!H4:H32873,"=Dağıtım-AG",'[7]TABLO-1'!J4:J32873,"=Güvenlik",'[7]TABLO-1'!K4:K32873,"=Bildirimli",'[7]TABLO-1'!I4:I32873,"=Uzun",'[7]TABLO-1'!D4:D32873,"=SÜLEYMANPAŞA")/P6</f>
        <v>0</v>
      </c>
      <c r="E25" s="10">
        <f>SUMIFS('[7]TABLO-1'!V4:V32873,'[7]TABLO-1'!H4:H32873,"=Dağıtım-AG",'[7]TABLO-1'!J4:J32873,"=Güvenlik",'[7]TABLO-1'!K4:K32873,"=Bildirimli",'[7]TABLO-1'!I4:I32873,"=Uzun",'[7]TABLO-1'!D4:D32873,"=SÜLEYMANPAŞA")/P12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SUMIFS('[7]TABLO-1'!W4:W32873,'[7]TABLO-1'!H4:H32873,"=Dağıtım-AG",'[7]TABLO-1'!J4:J32873,"=Güvenlik",'[7]TABLO-1'!K4:K32873,"=Bildirimli",'[7]TABLO-1'!I4:I32873,"=Uzun",'[7]TABLO-1'!D4:D32873,"=SÜLEYMANPAŞA")/P7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SUMIFS('[7]TABLO-1'!X4:X32873,'[7]TABLO-1'!H4:H32873,"=Dağıtım-AG",'[7]TABLO-1'!J4:J32873,"=Güvenlik",'[7]TABLO-1'!K4:K32873,"=Bildirimli",'[7]TABLO-1'!I4:I32873,"=Uzun",'[7]TABLO-1'!D4:D32873,"=SÜLEYMANPAŞA")/P13</f>
        <v>#DIV/0!</v>
      </c>
      <c r="I25" s="10" t="str">
        <f t="shared" si="6"/>
        <v>0,00</v>
      </c>
      <c r="J25" s="12" t="e">
        <f>SUMIFS('[7]TABLO-1'!Y4:Y32873,'[7]TABLO-1'!H4:H32873,"=Dağıtım-AG",'[7]TABLO-1'!J4:J32873,"=Güvenlik",'[7]TABLO-1'!K4:K32873,"=Bildirimli",'[7]TABLO-1'!I4:I32873,"=Uzun",'[7]TABLO-1'!D4:D32873,"=SÜLEYMANPAŞA")/P8</f>
        <v>#DIV/0!</v>
      </c>
      <c r="K25" s="10" t="e">
        <f>SUMIFS('[7]TABLO-1'!Z4:Z32873,'[7]TABLO-1'!H4:H32873,"=Dağıtım-AG",'[7]TABLO-1'!J4:J32873,"=Güvenlik",'[7]TABLO-1'!K4:K32873,"=Bildirimli",'[7]TABLO-1'!I4:I32873,"=Uzun",'[7]TABLO-1'!D4:D32873,"=SÜLEYMANPAŞA")/P14</f>
        <v>#DIV/0!</v>
      </c>
      <c r="L25" s="10" t="str">
        <f t="shared" si="7"/>
        <v>0,00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3.2412329616006046</v>
      </c>
      <c r="E26" s="10">
        <f t="shared" ref="E26:M26" si="9">SUM(E21:E25)</f>
        <v>4.2068473819534953</v>
      </c>
      <c r="F26" s="10">
        <f t="shared" si="9"/>
        <v>4.1999361429452815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 t="e">
        <f t="shared" si="9"/>
        <v>#DIV/0!</v>
      </c>
      <c r="K26" s="10" t="e">
        <f t="shared" si="9"/>
        <v>#DIV/0!</v>
      </c>
      <c r="L26" s="10">
        <f t="shared" si="9"/>
        <v>0</v>
      </c>
      <c r="M26" s="11">
        <f t="shared" si="9"/>
        <v>4.1999361429452815</v>
      </c>
      <c r="O26" s="43" t="s">
        <v>22</v>
      </c>
      <c r="P26" s="44">
        <f>P20+P17+P23</f>
        <v>150335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İşletmecisi",'[7]TABLO-1'!K4:K32873,"=Bildirimsiz",'[7]TABLO-1'!I4:I32873,"=Uzun",'[7]TABLO-1'!D4:D32873,"=SÜLEYMANPAŞA")/P6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İşletmecisi",'[7]TABLO-1'!K4:K32873,"=Bildirimsiz",'[7]TABLO-1'!I4:I32873,"=Uzun",'[7]TABLO-1'!D4:D32873,"=SÜLEYMANPAŞA")/P12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İşletmecisi",'[7]TABLO-1'!K4:K32873,"=Bildirimsiz",'[7]TABLO-1'!I4:I32873,"=Uzun",'[7]TABLO-1'!D4:D32873,"=SÜLEYMANPAŞA")/P7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İşletmecisi",'[7]TABLO-1'!K4:K32873,"=Bildirimsiz",'[7]TABLO-1'!I4:I32873,"=Uzun",'[7]TABLO-1'!D4:D32873,"=SÜLEYMANPAŞA")/P13</f>
        <v>#DIV/0!</v>
      </c>
      <c r="I31" s="10" t="str">
        <f>IFERROR((((G31*$P$7)+(H31*$P$13))/$P$20),"0,00")</f>
        <v>0,00</v>
      </c>
      <c r="J31" s="10" t="e">
        <f>SUMIFS('[7]TABLO-1'!S4:S32873,'[7]TABLO-1'!H4:H32873,"=İletim",'[7]TABLO-1'!J4:J32873,"=Şebeke İşletmecisi",'[7]TABLO-1'!K4:K32873,"=Bildirimsiz",'[7]TABLO-1'!I4:I32873,"=Uzun",'[7]TABLO-1'!D4:D32873,"=SÜLEYMANPAŞA")/P8</f>
        <v>#DIV/0!</v>
      </c>
      <c r="K31" s="10" t="e">
        <f>SUMIFS('[7]TABLO-1'!T4:T32873,'[7]TABLO-1'!H4:H32873,"=İletim",'[7]TABLO-1'!J4:J32873,"=Şebeke İşletmecisi",'[7]TABLO-1'!K4:K32873,"=bildirimsiz",'[7]TABLO-1'!I4:I32873,"=Uzun",'[7]TABLO-1'!D4:D32873,"=SÜLEYMANPAŞA")/P14</f>
        <v>#DIV/0!</v>
      </c>
      <c r="L31" s="10" t="str">
        <f>IFERROR((((J31*$P$8)+(K31*$P$14))/$P$23),"0,00")</f>
        <v>0,00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Sebep",'[7]TABLO-1'!K4:K32873,"=Bildirimsiz",'[7]TABLO-1'!I4:I32873,"=Uzun",'[7]TABLO-1'!D4:D32873,"=SÜLEYMANPAŞA")/P6</f>
        <v>0</v>
      </c>
      <c r="E32" s="10">
        <f>SUMIFS('[7]TABLO-1'!P4:P32873,'[7]TABLO-1'!H4:H32873,"=İletim",'[7]TABLO-1'!J4:J32873,"=Mücbir Sebep",'[7]TABLO-1'!K4:K32873,"=Bildirimsiz",'[7]TABLO-1'!I4:I32873,"=Uzun",'[7]TABLO-1'!D4:D32873,"=SÜLEYMANPAŞA")/P12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Sebep",'[7]TABLO-1'!K4:K32873,"=Bildirimsiz",'[7]TABLO-1'!I4:I32873,"=Uzun",'[7]TABLO-1'!D4:D32873,"=SÜLEYMANPAŞA")/P7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Sebep",'[7]TABLO-1'!K4:K32873,"=Bildirimsiz",'[7]TABLO-1'!I4:I32873,"=Uzun",'[7]TABLO-1'!D4:D32873,"=SÜLEYMANPAŞA")/P13</f>
        <v>#DIV/0!</v>
      </c>
      <c r="I32" s="10" t="str">
        <f t="shared" ref="I32:I40" si="11">IFERROR((((G32*$P$7)+(H32*$P$13))/$P$20),"0,00")</f>
        <v>0,00</v>
      </c>
      <c r="J32" s="10" t="e">
        <f>SUMIFS('[7]TABLO-1'!S4:S32873,'[7]TABLO-1'!H4:H32873,"=İletim",'[7]TABLO-1'!J4:J32873,"=Mücbir Sebep",'[7]TABLO-1'!K4:K32873,"=Bildirimsiz",'[7]TABLO-1'!I4:I32873,"=Uzun",'[7]TABLO-1'!D4:D32873,"=SÜLEYMANPAŞA")/P8</f>
        <v>#DIV/0!</v>
      </c>
      <c r="K32" s="10" t="e">
        <f>SUMIFS('[7]TABLO-1'!T4:T32873,'[7]TABLO-1'!H4:H32873,"=İletim",'[7]TABLO-1'!J4:J32873,"=Mücbir Sebep",'[7]TABLO-1'!K4:K32873,"=bildirimsiz",'[7]TABLO-1'!I4:I32873,"=Uzun",'[7]TABLO-1'!D4:D32873,"=SÜLEYMANPAŞA")/P14</f>
        <v>#DIV/0!</v>
      </c>
      <c r="L32" s="10" t="str">
        <f t="shared" ref="L32:L40" si="12">IFERROR((((J32*$P$8)+(K32*$P$14))/$P$23),"0,00")</f>
        <v>0,00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İşletmecisi",'[7]TABLO-1'!K4:K32873,"=Bildirimsiz",'[7]TABLO-1'!I4:I32873,"=Uzun",'[7]TABLO-1'!D4:D32873,"=SÜLEYMANPAŞA")/P6</f>
        <v>0.17843866171003717</v>
      </c>
      <c r="E33" s="10">
        <f>SUMIFS('[7]TABLO-1'!P4:P32873,'[7]TABLO-1'!H4:H32873,"=Dağıtım-OG",'[7]TABLO-1'!J4:J32873,"=Şebeke İşletmecisi",'[7]TABLO-1'!K4:K32873,"=Bildirimsiz",'[7]TABLO-1'!I4:I32873,"=Uzun",'[7]TABLO-1'!D4:D32873,"=SÜLEYMANPAŞA")/P12</f>
        <v>0.24901680970661735</v>
      </c>
      <c r="F33" s="10">
        <f t="shared" si="10"/>
        <v>0.24851165729869956</v>
      </c>
      <c r="G33" s="10" t="e">
        <f>SUMIFS('[7]TABLO-1'!Q4:Q32873,'[7]TABLO-1'!H4:H32873,"=Dağıtım-OG",'[7]TABLO-1'!J4:J32873,"=Şebeke İşletmecisi",'[7]TABLO-1'!K4:K32873,"=Bildirimsiz",'[7]TABLO-1'!I4:I32873,"=Uzun",'[7]TABLO-1'!D4:D32873,"=SÜLEYMANPAŞA")/P7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İşletmecisi",'[7]TABLO-1'!K4:K32873,"=Bildirimsiz",'[7]TABLO-1'!I4:I32873,"=Uzun",'[7]TABLO-1'!D4:D32873,"=SÜLEYMANPAŞA")/P13</f>
        <v>#DIV/0!</v>
      </c>
      <c r="I33" s="10" t="str">
        <f t="shared" si="11"/>
        <v>0,00</v>
      </c>
      <c r="J33" s="10" t="e">
        <f>SUMIFS('[7]TABLO-1'!S4:S32873,'[7]TABLO-1'!H4:H32873,"=Dağıtım-OG",'[7]TABLO-1'!J4:J32873,"=Şebeke İşletmecisi",'[7]TABLO-1'!K4:K32873,"=Bildirimsiz",'[7]TABLO-1'!I4:I32873,"=Uzun",'[7]TABLO-1'!D4:D32873,"=SÜLEYMANPAŞA")/P8</f>
        <v>#DIV/0!</v>
      </c>
      <c r="K33" s="10" t="e">
        <f>SUMIFS('[7]TABLO-1'!T4:T32873,'[7]TABLO-1'!H4:H32873,"=Dağıtım-OG",'[7]TABLO-1'!J4:J32873,"=Şebeke İşletmecisi",'[7]TABLO-1'!K4:K32873,"=bildirimsiz",'[7]TABLO-1'!I4:I32873,"=Uzun",'[7]TABLO-1'!D4:D32873,"=SÜLEYMANPAŞA")/P14</f>
        <v>#DIV/0!</v>
      </c>
      <c r="L33" s="10" t="str">
        <f t="shared" si="12"/>
        <v>0,00</v>
      </c>
      <c r="M33" s="11">
        <f t="shared" si="13"/>
        <v>0.24851165729869956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SUMIFS('[7]TABLO-1'!O4:O32873,'[7]TABLO-1'!H4:H32873,"=Dağıtım-OG",'[7]TABLO-1'!J4:J32873,"=Dışsal",'[7]TABLO-1'!K4:K32873,"=Bildirimsiz",'[7]TABLO-1'!I4:I32873,"=Uzun",'[7]TABLO-1'!D4:D32873,"=SÜLEYMANPAŞA")/P6</f>
        <v>6.5055762081784388E-3</v>
      </c>
      <c r="E34" s="10">
        <f>SUMIFS('[7]TABLO-1'!P4:P32873,'[7]TABLO-1'!H4:H32873,"=Dağıtım-OG",'[7]TABLO-1'!J4:J32873,"=Dışsal",'[7]TABLO-1'!K4:K32873,"=Bildirimsiz",'[7]TABLO-1'!I4:I32873,"=Uzun",'[7]TABLO-1'!D4:D32873,"=SÜLEYMANPAŞA")/P12</f>
        <v>1.1389597947192463E-4</v>
      </c>
      <c r="F34" s="10">
        <f t="shared" si="10"/>
        <v>1.5964346293278345E-4</v>
      </c>
      <c r="G34" s="10" t="e">
        <f>SUMIFS('[7]TABLO-1'!Q4:Q32873,'[7]TABLO-1'!H4:H32873,"=Dağıtım-OG",'[7]TABLO-1'!J4:J32873,"=Dışsal",'[7]TABLO-1'!K4:K32873,"=Bildirimsiz",'[7]TABLO-1'!I4:I32873,"=Uzun",'[7]TABLO-1'!D4:D32873,"=SÜLEYMANPAŞA")/P7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SUMIFS('[7]TABLO-1'!R4:R32873,'[7]TABLO-1'!H4:H32873,"=Dağıtım-OG",'[7]TABLO-1'!J4:J32873,"=Dışsal",'[7]TABLO-1'!K4:K32873,"=Bildirimsiz",'[7]TABLO-1'!I4:I32873,"=Uzun",'[7]TABLO-1'!D4:D32873,"=SÜLEYMANPAŞA")/P13</f>
        <v>#DIV/0!</v>
      </c>
      <c r="I34" s="10" t="str">
        <f t="shared" si="11"/>
        <v>0,00</v>
      </c>
      <c r="J34" s="10" t="e">
        <f>SUMIFS('[7]TABLO-1'!S4:S32873,'[7]TABLO-1'!H4:H32873,"=Dağıtım-OG",'[7]TABLO-1'!J4:J32873,"=Dışsal",'[7]TABLO-1'!K4:K32873,"=Bildirimsiz",'[7]TABLO-1'!I4:I32873,"=Uzun",'[7]TABLO-1'!D4:D32873,"=SÜLEYMANPAŞA")/P8</f>
        <v>#DIV/0!</v>
      </c>
      <c r="K34" s="10" t="e">
        <f>SUMIFS('[7]TABLO-1'!T4:T32873,'[7]TABLO-1'!H4:H32873,"=Dağıtım-OG",'[7]TABLO-1'!J4:J32873,"=Dışsal",'[7]TABLO-1'!K4:K32873,"=bildirimsiz",'[7]TABLO-1'!I4:I32873,"=Uzun",'[7]TABLO-1'!D4:D32873,"=SÜLEYMANPAŞA")/P14</f>
        <v>#DIV/0!</v>
      </c>
      <c r="L34" s="10" t="str">
        <f t="shared" si="12"/>
        <v>0,00</v>
      </c>
      <c r="M34" s="11">
        <f t="shared" si="13"/>
        <v>1.5964346293278345E-4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Sebep",'[7]TABLO-1'!K4:K32873,"=Bildirimsiz",'[7]TABLO-1'!I4:I32873,"=Uzun",'[7]TABLO-1'!D4:D32873,"=SÜLEYMANPAŞA")/P6</f>
        <v>0</v>
      </c>
      <c r="E35" s="10">
        <f>SUMIFS('[7]TABLO-1'!P4:P32873,'[7]TABLO-1'!H4:H32873,"=Dağıtım-OG",'[7]TABLO-1'!J4:J32873,"=Mücbir Sebep",'[7]TABLO-1'!K4:K32873,"=Bildirimsiz",'[7]TABLO-1'!I4:I32873,"=Uzun",'[7]TABLO-1'!D4:D32873,"=SÜLEYMANPAŞA")/P12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Sebep",'[7]TABLO-1'!K4:K32873,"=Bildirimsiz",'[7]TABLO-1'!I4:I32873,"=Uzun",'[7]TABLO-1'!D4:D32873,"=SÜLEYMANPAŞA")/P7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Sebep",'[7]TABLO-1'!K4:K32873,"=Bildirimsiz",'[7]TABLO-1'!I4:I32873,"=Uzun",'[7]TABLO-1'!D4:D32873,"=SÜLEYMANPAŞA")/P13</f>
        <v>#DIV/0!</v>
      </c>
      <c r="I35" s="10" t="str">
        <f t="shared" si="11"/>
        <v>0,00</v>
      </c>
      <c r="J35" s="10" t="e">
        <f>SUMIFS('[7]TABLO-1'!S4:S32873,'[7]TABLO-1'!H4:H32873,"=Dağıtım-OG",'[7]TABLO-1'!J4:J32873,"=Mücbir Sebep",'[7]TABLO-1'!K4:K32873,"=Bildirimsiz",'[7]TABLO-1'!I4:I32873,"=Uzun",'[7]TABLO-1'!D4:D32873,"=SÜLEYMANPAŞA")/P8</f>
        <v>#DIV/0!</v>
      </c>
      <c r="K35" s="10" t="e">
        <f>SUMIFS('[7]TABLO-1'!T4:T32873,'[7]TABLO-1'!H4:H32873,"=Dağıtım-OG",'[7]TABLO-1'!J4:J32873,"=Mücbir Sebep",'[7]TABLO-1'!K4:K32873,"=bildirimsiz",'[7]TABLO-1'!I4:I32873,"=Uzun",'[7]TABLO-1'!D4:D32873,"=SÜLEYMANPAŞA")/P14</f>
        <v>#DIV/0!</v>
      </c>
      <c r="L35" s="10" t="str">
        <f t="shared" si="12"/>
        <v>0,00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SUMIFS('[7]TABLO-1'!O4:O32873,'[7]TABLO-1'!H4:H32873,"=Dağıtım-OG",'[7]TABLO-1'!J4:J32873,"=Güvenlik",'[7]TABLO-1'!K4:K32873,"=Bildirimsiz",'[7]TABLO-1'!I4:I32873,"=Uzun",'[7]TABLO-1'!D4:D32873,"=SÜLEYMANPAŞA")/P6</f>
        <v>0</v>
      </c>
      <c r="E36" s="10">
        <f>SUMIFS('[7]TABLO-1'!P4:P32873,'[7]TABLO-1'!H4:H32873,"=Dağıtım-OG",'[7]TABLO-1'!J4:J32873,"=Güvenlik",'[7]TABLO-1'!K4:K32873,"=Bildirimsiz",'[7]TABLO-1'!I4:I32873,"=Uzun",'[7]TABLO-1'!D4:D32873,"=SÜLEYMANPAŞA")/P12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SUMIFS('[7]TABLO-1'!Q4:Q32873,'[7]TABLO-1'!H4:H32873,"=Dağıtım-OG",'[7]TABLO-1'!J4:J32873,"=Güvenlik",'[7]TABLO-1'!K4:K32873,"=Bildirimsiz",'[7]TABLO-1'!I4:I32873,"=Uzun",'[7]TABLO-1'!D4:D32873,"=SÜLEYMANPAŞA")/P7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SUMIFS('[7]TABLO-1'!R4:R32873,'[7]TABLO-1'!H4:H32873,"=Dağıtım-OG",'[7]TABLO-1'!J4:J32873,"=Güvenlik",'[7]TABLO-1'!K4:K32873,"=Bildirimsiz",'[7]TABLO-1'!I4:I32873,"=Uzun",'[7]TABLO-1'!D4:D32873,"=SÜLEYMANPAŞA")/P13</f>
        <v>#DIV/0!</v>
      </c>
      <c r="I36" s="10" t="str">
        <f t="shared" si="11"/>
        <v>0,00</v>
      </c>
      <c r="J36" s="10" t="e">
        <f>SUMIFS('[7]TABLO-1'!S4:S32873,'[7]TABLO-1'!H4:H32873,"=Dağıtım-OG",'[7]TABLO-1'!J4:J32873,"=Güvenlik",'[7]TABLO-1'!K4:K32873,"=Bildirimsiz",'[7]TABLO-1'!I4:I32873,"=Uzun",'[7]TABLO-1'!D4:D32873,"=SÜLEYMANPAŞA")/P8</f>
        <v>#DIV/0!</v>
      </c>
      <c r="K36" s="10" t="e">
        <f>SUMIFS('[7]TABLO-1'!T4:T32873,'[7]TABLO-1'!H4:H32873,"=Dağıtım-OG",'[7]TABLO-1'!J4:J32873,"=Güvenlik",'[7]TABLO-1'!K4:K32873,"=bildirimsiz",'[7]TABLO-1'!I4:I32873,"=Uzun",'[7]TABLO-1'!D4:D32873,"=SÜLEYMANPAŞA")/P14</f>
        <v>#DIV/0!</v>
      </c>
      <c r="L36" s="10" t="str">
        <f t="shared" si="12"/>
        <v>0,00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İşletmecisi",'[7]TABLO-1'!K4:K32873,"=Bildirimsiz",'[7]TABLO-1'!I4:I32873,"=Uzun",'[7]TABLO-1'!D4:D32873,"=SÜLEYMANPAŞA")/P6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İşletmecisi",'[7]TABLO-1'!K4:K32873,"=Bildirimsiz",'[7]TABLO-1'!I4:I32873,"=Uzun",'[7]TABLO-1'!D4:D32873,"=SÜLEYMANPAŞA")/P12</f>
        <v>5.4877762814972635E-2</v>
      </c>
      <c r="F37" s="10">
        <f t="shared" si="10"/>
        <v>5.4484983536767888E-2</v>
      </c>
      <c r="G37" s="12" t="e">
        <f>SUMIFS('[7]TABLO-1'!Q4:Q32873,'[7]TABLO-1'!H4:H32873,"=Dağıtım-AG",'[7]TABLO-1'!J4:J32873,"=Şebeke İşletmecisi",'[7]TABLO-1'!K4:K32873,"=Bildirimsiz",'[7]TABLO-1'!I4:I32873,"=Uzun",'[7]TABLO-1'!D4:D32873,"=SÜLEYMANPAŞA")/P7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İşletmecisi",'[7]TABLO-1'!K4:K32873,"=Bildirimsiz",'[7]TABLO-1'!I4:I32873,"=Uzun",'[7]TABLO-1'!D4:D32873,"=SÜLEYMANPAŞA")/P13</f>
        <v>#DIV/0!</v>
      </c>
      <c r="I37" s="10" t="str">
        <f t="shared" si="11"/>
        <v>0,00</v>
      </c>
      <c r="J37" s="12" t="e">
        <f>SUMIFS('[7]TABLO-1'!S4:S32873,'[7]TABLO-1'!H4:H32873,"=Dağıtım-AG",'[7]TABLO-1'!J4:J32873,"=Şebeke İşletmecisi",'[7]TABLO-1'!K4:K32873,"=Bildirimsiz",'[7]TABLO-1'!I4:I32873,"=Uzun",'[7]TABLO-1'!D4:D32873,"=SÜLEYMANPAŞA")/P8</f>
        <v>#DIV/0!</v>
      </c>
      <c r="K37" s="10" t="e">
        <f>SUMIFS('[7]TABLO-1'!T4:T32873,'[7]TABLO-1'!H4:H32873,"=Dağıtım-AG",'[7]TABLO-1'!J4:J32873,"=Şebeke İşletmecisi",'[7]TABLO-1'!K4:K32873,"=bildirimsiz",'[7]TABLO-1'!I4:I32873,"=Uzun",'[7]TABLO-1'!D4:D32873,"=SÜLEYMANPAŞA")/P14</f>
        <v>#DIV/0!</v>
      </c>
      <c r="L37" s="10" t="str">
        <f t="shared" si="12"/>
        <v>0,00</v>
      </c>
      <c r="M37" s="11">
        <f t="shared" si="13"/>
        <v>5.4484983536767888E-2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SUMIFS('[7]TABLO-1'!O4:O32873,'[7]TABLO-1'!H4:H32873,"=Dağıtım-AG",'[7]TABLO-1'!J4:J32873,"=Dışsal",'[7]TABLO-1'!K4:K32873,"=Bildirimsiz",'[7]TABLO-1'!I4:I32873,"=Uzun",'[7]TABLO-1'!D4:D32873,"=SÜLEYMANPAŞA")/P6</f>
        <v>0</v>
      </c>
      <c r="E38" s="10">
        <f>SUMIFS('[7]TABLO-1'!P4:P32873,'[7]TABLO-1'!H4:H32873,"=Dağıtım-AG",'[7]TABLO-1'!J4:J32873,"=Dışsal",'[7]TABLO-1'!K4:K32873,"=Bildirimsiz",'[7]TABLO-1'!I4:I32873,"=Uzun",'[7]TABLO-1'!D4:D32873,"=SÜLEYMANPAŞA")/P12</f>
        <v>2.3717162784153718E-3</v>
      </c>
      <c r="F38" s="10">
        <f t="shared" si="10"/>
        <v>2.3547410782585559E-3</v>
      </c>
      <c r="G38" s="12" t="e">
        <f>SUMIFS('[7]TABLO-1'!Q4:Q32873,'[7]TABLO-1'!H4:H32873,"=Dağıtım-AG",'[7]TABLO-1'!J4:J32873,"=Dışsal",'[7]TABLO-1'!K4:K32873,"=Bildirimsiz",'[7]TABLO-1'!I4:I32873,"=Uzun",'[7]TABLO-1'!D4:D32873,"=SÜLEYMANPAŞA")/P7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SUMIFS('[7]TABLO-1'!R4:R32873,'[7]TABLO-1'!H4:H32873,"=Dağıtım-AG",'[7]TABLO-1'!J4:J32873,"=Dışsal",'[7]TABLO-1'!K4:K32873,"=Bildirimsiz",'[7]TABLO-1'!I4:I32873,"=Uzun",'[7]TABLO-1'!D4:D32873,"=SÜLEYMANPAŞA")/P13</f>
        <v>#DIV/0!</v>
      </c>
      <c r="I38" s="10" t="str">
        <f t="shared" si="11"/>
        <v>0,00</v>
      </c>
      <c r="J38" s="12" t="e">
        <f>SUMIFS('[7]TABLO-1'!S4:S32873,'[7]TABLO-1'!H4:H32873,"=Dağıtım-AG",'[7]TABLO-1'!J4:J32873,"=Dışsal",'[7]TABLO-1'!K4:K32873,"=Bildirimsiz",'[7]TABLO-1'!I4:I32873,"=Uzun",'[7]TABLO-1'!D4:D32873,"=SÜLEYMANPAŞA")/P8</f>
        <v>#DIV/0!</v>
      </c>
      <c r="K38" s="10" t="e">
        <f>SUMIFS('[7]TABLO-1'!T4:T32873,'[7]TABLO-1'!H4:H32873,"=Dağıtım-AG",'[7]TABLO-1'!J4:J32873,"=Dışsal",'[7]TABLO-1'!K4:K32873,"=bildirimsiz",'[7]TABLO-1'!I4:I32873,"=Uzun",'[7]TABLO-1'!D4:D32873,"=SÜLEYMANPAŞA")/P14</f>
        <v>#DIV/0!</v>
      </c>
      <c r="L38" s="10" t="str">
        <f t="shared" si="12"/>
        <v>0,00</v>
      </c>
      <c r="M38" s="11">
        <f t="shared" si="13"/>
        <v>2.3547410782585559E-3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Sebep",'[7]TABLO-1'!K4:K32873,"=Bildirimsiz",'[7]TABLO-1'!I4:I32873,"=Uzun",'[7]TABLO-1'!D4:D32873,"=SÜLEYMANPAŞA")/P6</f>
        <v>0</v>
      </c>
      <c r="E39" s="10">
        <f>SUMIFS('[7]TABLO-1'!P4:P32873,'[7]TABLO-1'!H4:H32873,"=Dağıtım-AG",'[7]TABLO-1'!J4:J32873,"=Mücbir Sebep",'[7]TABLO-1'!K4:K32873,"=Bildirimsiz",'[7]TABLO-1'!I4:I32873,"=Uzun",'[7]TABLO-1'!D4:D32873,"=SÜLEYMANPAŞA")/P12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Sebep",'[7]TABLO-1'!K4:K32873,"=Bildirimsiz",'[7]TABLO-1'!I4:I32873,"=Uzun",'[7]TABLO-1'!D4:D32873,"=SÜLEYMANPAŞA")/P7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Sebep",'[7]TABLO-1'!K4:K32873,"=Bildirimsiz",'[7]TABLO-1'!I4:I32873,"=Uzun",'[7]TABLO-1'!D4:D32873,"=SÜLEYMANPAŞA")/P13</f>
        <v>#DIV/0!</v>
      </c>
      <c r="I39" s="10" t="str">
        <f t="shared" si="11"/>
        <v>0,00</v>
      </c>
      <c r="J39" s="12" t="e">
        <f>SUMIFS('[7]TABLO-1'!S4:S32873,'[7]TABLO-1'!H4:H32873,"=Dağıtım-AG",'[7]TABLO-1'!J4:J32873,"=Mücbir Sebep",'[7]TABLO-1'!K4:K32873,"=Bildirimsiz",'[7]TABLO-1'!I4:I32873,"=Uzun",'[7]TABLO-1'!D4:D32873,"=SÜLEYMANPAŞA")/P8</f>
        <v>#DIV/0!</v>
      </c>
      <c r="K39" s="10" t="e">
        <f>SUMIFS('[7]TABLO-1'!T4:T32873,'[7]TABLO-1'!H4:H32873,"=Dağıtım-AG",'[7]TABLO-1'!J4:J32873,"=Mücbir Sebep",'[7]TABLO-1'!K4:K32873,"=bildirimsiz",'[7]TABLO-1'!I4:I32873,"=Uzun",'[7]TABLO-1'!D4:D32873,"=SÜLEYMANPAŞA")/P14</f>
        <v>#DIV/0!</v>
      </c>
      <c r="L39" s="10" t="str">
        <f t="shared" si="12"/>
        <v>0,00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SUMIFS('[7]TABLO-1'!O4:O32873,'[7]TABLO-1'!H4:H32873,"=Dağıtım-AG",'[7]TABLO-1'!J4:J32873,"=Güvenlik",'[7]TABLO-1'!K4:K32873,"=Bildirimsiz",'[7]TABLO-1'!I4:I32873,"=Uzun",'[7]TABLO-1'!D4:D32873,"=SÜLEYMANPAŞA")/P6</f>
        <v>0</v>
      </c>
      <c r="E40" s="10">
        <f>SUMIFS('[7]TABLO-1'!P4:P32873,'[7]TABLO-1'!H4:H32873,"=Dağıtım-AG",'[7]TABLO-1'!J4:J32873,"=Güvenlik",'[7]TABLO-1'!K4:K32873,"=Bildirimsiz",'[7]TABLO-1'!I4:I32873,"=Uzun",'[7]TABLO-1'!D4:D32873,"=SÜLEYMANPAŞA")/P12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SUMIFS('[7]TABLO-1'!Q4:Q32873,'[7]TABLO-1'!H4:H32873,"=Dağıtım-AG",'[7]TABLO-1'!J4:J32873,"=Güvenlik",'[7]TABLO-1'!K4:K32873,"=Bildirimsiz",'[7]TABLO-1'!I4:I32873,"=Uzun",'[7]TABLO-1'!D4:D32873,"=SÜLEYMANPAŞA")/P7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SUMIFS('[7]TABLO-1'!R4:R32873,'[7]TABLO-1'!H4:H32873,"=Dağıtım-AG",'[7]TABLO-1'!J4:J32873,"=Güvenlik",'[7]TABLO-1'!K4:K32873,"=Bildirimsiz",'[7]TABLO-1'!I4:I32873,"=Uzun",'[7]TABLO-1'!D4:D32873,"=SÜLEYMANPAŞA")/P13</f>
        <v>#DIV/0!</v>
      </c>
      <c r="I40" s="10" t="str">
        <f t="shared" si="11"/>
        <v>0,00</v>
      </c>
      <c r="J40" s="12" t="e">
        <f>SUMIFS('[7]TABLO-1'!S4:S32873,'[7]TABLO-1'!H4:H32873,"=Dağıtım-AG",'[7]TABLO-1'!J4:J32873,"=Güvenlik",'[7]TABLO-1'!K4:K32873,"=Bildirimsiz",'[7]TABLO-1'!I4:I32873,"=Uzun",'[7]TABLO-1'!D4:D32873,"=SÜLEYMANPAŞA")/P8</f>
        <v>#DIV/0!</v>
      </c>
      <c r="K40" s="10" t="e">
        <f>SUMIFS('[7]TABLO-1'!T4:T32873,'[7]TABLO-1'!H4:H32873,"=Dağıtım-AG",'[7]TABLO-1'!J4:J32873,"=Güvenlik",'[7]TABLO-1'!K4:K32873,"=bildirimsiz",'[7]TABLO-1'!I4:I32873,"=Uzun",'[7]TABLO-1'!D4:D32873,"=SÜLEYMANPAŞA")/P14</f>
        <v>#DIV/0!</v>
      </c>
      <c r="L40" s="10" t="str">
        <f t="shared" si="12"/>
        <v>0,00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0.1849442379182156</v>
      </c>
      <c r="E41" s="10">
        <f t="shared" ref="E41:M41" si="14">SUM(E31:E40)</f>
        <v>0.30638018477947726</v>
      </c>
      <c r="F41" s="10">
        <f t="shared" si="14"/>
        <v>0.30551102537665881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 t="e">
        <f t="shared" si="14"/>
        <v>#DIV/0!</v>
      </c>
      <c r="K41" s="10" t="e">
        <f t="shared" si="14"/>
        <v>#DIV/0!</v>
      </c>
      <c r="L41" s="10">
        <f t="shared" si="14"/>
        <v>0</v>
      </c>
      <c r="M41" s="10">
        <f t="shared" si="14"/>
        <v>0.30551102537665881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İşletmecisi",'[7]TABLO-1'!K4:K32873,"=Bildirimli",'[7]TABLO-1'!I4:I32873,"=Uzun",'[7]TABLO-1'!D4:D32873,"=SÜLEYMANPAŞA")/P6</f>
        <v>1.8587360594795538E-3</v>
      </c>
      <c r="E46" s="10">
        <f>SUMIFS('[7]TABLO-1'!P4:P32873,'[7]TABLO-1'!H4:H32873,"=İletim",'[7]TABLO-1'!J4:J32873,"=Şebeke İşletmecisi",'[7]TABLO-1'!K4:K32873,"=Bildirimli",'[7]TABLO-1'!I4:I32873,"=Uzun",'[7]TABLO-1'!D4:D32873,"=SÜLEYMANPAŞA")/P12</f>
        <v>1.0853616867324584E-3</v>
      </c>
      <c r="F46" s="10">
        <f>IFERROR((((D46*$P$6)+(E46*$P$12))/$P$17),"0,00")</f>
        <v>1.0908969967073536E-3</v>
      </c>
      <c r="G46" s="10" t="e">
        <f>SUMIFS('[7]TABLO-1'!Q4:Q32873,'[7]TABLO-1'!H4:H32873,"=İletim",'[7]TABLO-1'!J4:J32873,"=Şebeke İşletmecisi",'[7]TABLO-1'!K4:K32873,"=Bildirimli",'[7]TABLO-1'!I4:I32873,"=Uzun",'[7]TABLO-1'!D4:D32873,"=SÜLEYMANPAŞA")/P7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İşletmecisi",'[7]TABLO-1'!K4:K32873,"=Bildirimli",'[7]TABLO-1'!I4:I32873,"=Uzun",'[7]TABLO-1'!D4:D32873,"=SÜLEYMANPAŞA")/P13</f>
        <v>#DIV/0!</v>
      </c>
      <c r="I46" s="10" t="str">
        <f>IFERROR((((G46*$P$7)+(H46*$P$13))/$P$20),"0,00")</f>
        <v>0,00</v>
      </c>
      <c r="J46" s="10" t="e">
        <f>SUMIFS('[7]TABLO-1'!S4:S32873,'[7]TABLO-1'!H4:H32873,"=İletim",'[7]TABLO-1'!J4:J32873,"=Şebeke İşletmecisi",'[7]TABLO-1'!K4:K32873,"=Bildirimli",'[7]TABLO-1'!I4:I32873,"=Uzun",'[7]TABLO-1'!D4:D32873,"=SÜLEYMANPAŞA")/P8</f>
        <v>#DIV/0!</v>
      </c>
      <c r="K46" s="10" t="e">
        <f>SUMIFS('[7]TABLO-1'!T4:T32873,'[7]TABLO-1'!H4:H32873,"=İletim",'[7]TABLO-1'!J4:J32873,"=Şebeke İşletmecisi",'[7]TABLO-1'!K4:K32873,"=bildirimli",'[7]TABLO-1'!I4:I32873,"=Uzun",'[7]TABLO-1'!D4:D32873,"=SÜLEYMANPAŞA")/P14</f>
        <v>#DIV/0!</v>
      </c>
      <c r="L46" s="10" t="str">
        <f>IFERROR((((J46*$P$8)+(K46*$P$14))/$P$23),"0,00")</f>
        <v>0,00</v>
      </c>
      <c r="M46" s="11">
        <f>IFERROR((((F46*$P$17)+(I46*$P$20)+(L46*$P$23))/$P$26),"0,00")</f>
        <v>1.0908969967073536E-3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İşletmecisi",'[7]TABLO-1'!K4:K32873,"=Bildirimli",'[7]TABLO-1'!I4:I32873,"=Uzun",'[7]TABLO-1'!D4:D32873,"=SÜLEYMANPAŞA")/P6</f>
        <v>2.2304832713754646E-2</v>
      </c>
      <c r="E47" s="10">
        <f>SUMIFS('[7]TABLO-1'!P4:P32873,'[7]TABLO-1'!H4:H32873,"=Dağıtım-OG",'[7]TABLO-1'!J4:J32873,"=Şebeke İşletmecisi",'[7]TABLO-1'!K4:K32873,"=Bildirimli",'[7]TABLO-1'!I4:I32873,"=Uzun",'[7]TABLO-1'!D4:D32873,"=SÜLEYMANPAŞA")/P12</f>
        <v>4.7642018236756241E-2</v>
      </c>
      <c r="F47" s="10">
        <f t="shared" ref="F47:F50" si="15">IFERROR((((D47*$P$6)+(E47*$P$12))/$P$17),"0,00")</f>
        <v>4.7460671167725413E-2</v>
      </c>
      <c r="G47" s="10" t="e">
        <f>SUMIFS('[7]TABLO-1'!Q4:Q32873,'[7]TABLO-1'!H4:H32873,"=Dağıtım-OG",'[7]TABLO-1'!J4:J32873,"=Şebeke İşletmecisi",'[7]TABLO-1'!K4:K32873,"=Bildirimli",'[7]TABLO-1'!I4:I32873,"=Uzun",'[7]TABLO-1'!D4:D32873,"=SÜLEYMANPAŞA")/P7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İşletmecisi",'[7]TABLO-1'!K4:K32873,"=Bildirimli",'[7]TABLO-1'!I4:I32873,"=Uzun",'[7]TABLO-1'!D4:D32873,"=SÜLEYMANPAŞA")/P13</f>
        <v>#DIV/0!</v>
      </c>
      <c r="I47" s="10" t="str">
        <f t="shared" ref="I47:I50" si="16">IFERROR((((G47*$P$7)+(H47*$P$13))/$P$20),"0,00")</f>
        <v>0,00</v>
      </c>
      <c r="J47" s="10" t="e">
        <f>SUMIFS('[7]TABLO-1'!S4:S32873,'[7]TABLO-1'!H4:H32873,"=Dağıtım-OG",'[7]TABLO-1'!J4:J32873,"=Şebeke İşletmecisi",'[7]TABLO-1'!K4:K32873,"=Bildirimli",'[7]TABLO-1'!I4:I32873,"=Uzun",'[7]TABLO-1'!D4:D32873,"=SÜLEYMANPAŞA")/P8</f>
        <v>#DIV/0!</v>
      </c>
      <c r="K47" s="10" t="e">
        <f>SUMIFS('[7]TABLO-1'!T4:T32873,'[7]TABLO-1'!H4:H32873,"=Dağıtım-OG",'[7]TABLO-1'!J4:J32873,"=Şebeke İşletmecisi",'[7]TABLO-1'!K4:K32873,"=bildirimli",'[7]TABLO-1'!I4:I32873,"=Uzun",'[7]TABLO-1'!D4:D32873,"=SÜLEYMANPAŞA")/P14</f>
        <v>#DIV/0!</v>
      </c>
      <c r="L47" s="10" t="str">
        <f t="shared" ref="L47:L50" si="17">IFERROR((((J47*$P$8)+(K47*$P$14))/$P$23),"0,00")</f>
        <v>0,00</v>
      </c>
      <c r="M47" s="11">
        <f t="shared" ref="M47:M50" si="18">IFERROR((((F47*$P$17)+(I47*$P$20)+(L47*$P$23))/$P$26),"0,00")</f>
        <v>4.7460671167725413E-2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SUMIFS('[7]TABLO-1'!O4:O32873,'[7]TABLO-1'!H4:H32873,"=Dağıtım-OG",'[7]TABLO-1'!J4:J32873,"=Güvenlik",'[7]TABLO-1'!K4:K32873,"=Bildirimli",'[7]TABLO-1'!I4:I32873,"=Uzun",'[7]TABLO-1'!D4:D32873,"=SÜLEYMANPAŞA")/P6</f>
        <v>0</v>
      </c>
      <c r="E48" s="10">
        <f>SUMIFS('[7]TABLO-1'!P4:P32873,'[7]TABLO-1'!H4:H32873,"=Dağıtım-OG",'[7]TABLO-1'!J4:J32873,"=Güvenlik",'[7]TABLO-1'!K4:K32873,"=Bildirimli",'[7]TABLO-1'!I4:I32873,"=Uzun",'[7]TABLO-1'!D4:D32873,"=SÜLEYMANPAŞA")/P12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SUMIFS('[7]TABLO-1'!Q4:Q32873,'[7]TABLO-1'!H4:H32873,"=Dağıtım-OG",'[7]TABLO-1'!J4:J32873,"=Güvenlik",'[7]TABLO-1'!K4:K32873,"=Bildirimli",'[7]TABLO-1'!I4:I32873,"=Uzun",'[7]TABLO-1'!D4:D32873,"=SÜLEYMANPAŞA")/P7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SUMIFS('[7]TABLO-1'!R4:R32873,'[7]TABLO-1'!H4:H32873,"=Dağıtım-OG",'[7]TABLO-1'!J4:J32873,"=Güvenlik",'[7]TABLO-1'!K4:K32873,"=Bildirimli",'[7]TABLO-1'!I4:I32873,"=Uzun",'[7]TABLO-1'!D4:D32873,"=SÜLEYMANPAŞA")/P13</f>
        <v>#DIV/0!</v>
      </c>
      <c r="I48" s="10" t="str">
        <f t="shared" si="16"/>
        <v>0,00</v>
      </c>
      <c r="J48" s="10" t="e">
        <f>SUMIFS('[7]TABLO-1'!S4:S32873,'[7]TABLO-1'!H4:H32873,"=Dağıtım-OG",'[7]TABLO-1'!J4:J32873,"=Güvenlik",'[7]TABLO-1'!K4:K32873,"=Bildirimli",'[7]TABLO-1'!I4:I32873,"=Uzun",'[7]TABLO-1'!D4:D32873,"=SÜLEYMANPAŞA")/P8</f>
        <v>#DIV/0!</v>
      </c>
      <c r="K48" s="10" t="e">
        <f>SUMIFS('[7]TABLO-1'!T4:T32873,'[7]TABLO-1'!H4:H32873,"=Dağıtım-OG",'[7]TABLO-1'!J4:J32873,"=Güvenlik",'[7]TABLO-1'!K4:K32873,"=bildirimli",'[7]TABLO-1'!I4:I32873,"=Uzun",'[7]TABLO-1'!D4:D32873,"=SÜLEYMANPAŞA")/P14</f>
        <v>#DIV/0!</v>
      </c>
      <c r="L48" s="10" t="str">
        <f t="shared" si="17"/>
        <v>0,00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İşletmecisi",'[7]TABLO-1'!K4:K32873,"=Bildirimli",'[7]TABLO-1'!I4:I32873,"=Uzun",'[7]TABLO-1'!D4:D32873,"=SÜLEYMANPAŞA")/P6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İşletmecisi",'[7]TABLO-1'!K4:K32873,"=Bildirimli",'[7]TABLO-1'!I4:I32873,"=Uzun",'[7]TABLO-1'!D4:D32873,"=SÜLEYMANPAŞA")/P12</f>
        <v>1.3667517536630957E-3</v>
      </c>
      <c r="F49" s="10">
        <f t="shared" si="15"/>
        <v>1.3569694349286592E-3</v>
      </c>
      <c r="G49" s="12" t="e">
        <f>SUMIFS('[7]TABLO-1'!Q4:Q32873,'[7]TABLO-1'!H4:H32873,"=Dağıtım-AG",'[7]TABLO-1'!J4:J32873,"=Şebeke İşletmecisi",'[7]TABLO-1'!K4:K32873,"=Bildirimli",'[7]TABLO-1'!I4:I32873,"=Uzun",'[7]TABLO-1'!D4:D32873,"=SÜLEYMANPAŞA")/P7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İşletmecisi",'[7]TABLO-1'!K4:K32873,"=Bildirimli",'[7]TABLO-1'!I4:I32873,"=Uzun",'[7]TABLO-1'!D4:D32873,"=SÜLEYMANPAŞA")/P13</f>
        <v>#DIV/0!</v>
      </c>
      <c r="I49" s="10" t="str">
        <f t="shared" si="16"/>
        <v>0,00</v>
      </c>
      <c r="J49" s="12" t="e">
        <f>SUMIFS('[7]TABLO-1'!S4:S32873,'[7]TABLO-1'!H4:H32873,"=Dağıtım-AG",'[7]TABLO-1'!J4:J32873,"=Şebeke İşletmecisi",'[7]TABLO-1'!K4:K32873,"=Bildirimli",'[7]TABLO-1'!I4:I32873,"=Uzun",'[7]TABLO-1'!D4:D32873,"=SÜLEYMANPAŞA")/P8</f>
        <v>#DIV/0!</v>
      </c>
      <c r="K49" s="10" t="e">
        <f>SUMIFS('[7]TABLO-1'!T4:T32873,'[7]TABLO-1'!H4:H32873,"=Dağıtım-AG",'[7]TABLO-1'!J4:J32873,"=Şebeke İşletmecisi",'[7]TABLO-1'!K4:K32873,"=bildirimli",'[7]TABLO-1'!I4:I32873,"=Uzun",'[7]TABLO-1'!D4:D32873,"=SÜLEYMANPAŞA")/P14</f>
        <v>#DIV/0!</v>
      </c>
      <c r="L49" s="10" t="str">
        <f t="shared" si="17"/>
        <v>0,00</v>
      </c>
      <c r="M49" s="11">
        <f t="shared" si="18"/>
        <v>1.3569694349286592E-3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SUMIFS('[7]TABLO-1'!O4:O32873,'[7]TABLO-1'!H4:H32873,"=Dağıtım-AG",'[7]TABLO-1'!J4:J32873,"=Güvenlik",'[7]TABLO-1'!K4:K32873,"=Bildirimli",'[7]TABLO-1'!I4:I32873,"=Uzun",'[7]TABLO-1'!D4:D32873,"=SÜLEYMANPAŞA")/P6</f>
        <v>0</v>
      </c>
      <c r="E50" s="10">
        <f>SUMIFS('[7]TABLO-1'!P4:P32873,'[7]TABLO-1'!H4:H32873,"=Dağıtım-AG",'[7]TABLO-1'!J4:J32873,"=Güvenlik",'[7]TABLO-1'!K4:K32873,"=Bildirimli",'[7]TABLO-1'!I4:I32873,"=Uzun",'[7]TABLO-1'!D4:D32873,"=SÜLEYMANPAŞA")/P12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SUMIFS('[7]TABLO-1'!Q4:Q32873,'[7]TABLO-1'!H4:H32873,"=Dağıtım-AG",'[7]TABLO-1'!J4:J32873,"=Güvenlik",'[7]TABLO-1'!K4:K32873,"=Bildirimli",'[7]TABLO-1'!I4:I32873,"=Uzun",'[7]TABLO-1'!D4:D32873,"=SÜLEYMANPAŞA")/P7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SUMIFS('[7]TABLO-1'!R4:R32873,'[7]TABLO-1'!H4:H32873,"=Dağıtım-AG",'[7]TABLO-1'!J4:J32873,"=Güvenlik",'[7]TABLO-1'!K4:K32873,"=Bildirimli",'[7]TABLO-1'!I4:I32873,"=Uzun",'[7]TABLO-1'!D4:D32873,"=SÜLEYMANPAŞA")/P13</f>
        <v>#DIV/0!</v>
      </c>
      <c r="I50" s="10" t="str">
        <f t="shared" si="16"/>
        <v>0,00</v>
      </c>
      <c r="J50" s="12" t="e">
        <f>SUMIFS('[7]TABLO-1'!S4:S32873,'[7]TABLO-1'!H4:H32873,"=Dağıtım-AG",'[7]TABLO-1'!J4:J32873,"=Güvenlik",'[7]TABLO-1'!K4:K32873,"=Bildirimli",'[7]TABLO-1'!I4:I32873,"=Uzun",'[7]TABLO-1'!D4:D32873,"=SÜLEYMANPAŞA")/P8</f>
        <v>#DIV/0!</v>
      </c>
      <c r="K50" s="10" t="e">
        <f>SUMIFS('[7]TABLO-1'!T4:T32873,'[7]TABLO-1'!H4:H32873,"=Dağıtım-AG",'[7]TABLO-1'!J4:J32873,"=Güvenlik",'[7]TABLO-1'!K4:K32873,"=bildirimli",'[7]TABLO-1'!I4:I32873,"=Uzun",'[7]TABLO-1'!D4:D32873,"=SÜLEYMANPAŞA")/P14</f>
        <v>#DIV/0!</v>
      </c>
      <c r="L50" s="10" t="str">
        <f t="shared" si="17"/>
        <v>0,00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2.4163568773234199E-2</v>
      </c>
      <c r="E51" s="10">
        <f t="shared" ref="E51:M51" si="19">SUM(E46:E50)</f>
        <v>5.0094131677151793E-2</v>
      </c>
      <c r="F51" s="10">
        <f t="shared" si="19"/>
        <v>4.9908537599361431E-2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 t="e">
        <f t="shared" si="19"/>
        <v>#DIV/0!</v>
      </c>
      <c r="K51" s="10" t="e">
        <f t="shared" si="19"/>
        <v>#DIV/0!</v>
      </c>
      <c r="L51" s="10">
        <f t="shared" si="19"/>
        <v>0</v>
      </c>
      <c r="M51" s="10">
        <f t="shared" si="19"/>
        <v>4.9908537599361431E-2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SUMIFS('[7]TABLO-1'!O1:O32873,'[7]TABLO-1'!H1:H32873,"=İletim",'[7]TABLO-1'!K1:K32873,"=Bildirimsiz",'[7]TABLO-1'!I1:I32873,"=Kısa",'[7]TABLO-1'!D1:D32873,"=SÜLEYMANPAŞA")/P6</f>
        <v>0</v>
      </c>
      <c r="D56" s="10">
        <f>SUMIFS('[7]TABLO-1'!P1:P32873,'[7]TABLO-1'!H1:H32873,"=İletim",'[7]TABLO-1'!K1:K32873,"=Bildirimsiz",'[7]TABLO-1'!I1:I32873,"=Kısa",'[7]TABLO-1'!D1:D32873,"=SÜLEYMANPAŞA")/P12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SUMIFS('[7]TABLO-1'!Q1:Q32873,'[7]TABLO-1'!H1:H32873,"=İletim",'[7]TABLO-1'!K1:K32873,"=Bildirimsiz",'[7]TABLO-1'!I1:I32873,"=Kısa",'[7]TABLO-1'!D1:D32873,"=SÜLEYMANPAŞA")/P7</f>
        <v>#DIV/0!</v>
      </c>
      <c r="G56" s="10" t="e">
        <f>SUMIFS('[7]TABLO-1'!R1:R32873,'[7]TABLO-1'!H1:H32873,"=İletim",'[7]TABLO-1'!K1:K32873,"=Bildirimsiz",'[7]TABLO-1'!I1:I32873,"=Kısa",'[7]TABLO-1'!D1:D32873,"=SÜLEYMANPAŞA")/P13</f>
        <v>#DIV/0!</v>
      </c>
      <c r="H56" s="10" t="str">
        <f>IFERROR((((F56*$P$7)+(G56*$P$13))/$P$20),"0,00")</f>
        <v>0,00</v>
      </c>
      <c r="I56" s="10" t="e">
        <f>SUMIFS('[7]TABLO-1'!S1:S32873,'[7]TABLO-1'!H1:H32873,"=İletim",'[7]TABLO-1'!K1:K32873,"=Bildirimsiz",'[7]TABLO-1'!I1:I32873,"=Kısa",'[7]TABLO-1'!D1:D32873,"=SÜLEYMANPAŞA")/P8</f>
        <v>#DIV/0!</v>
      </c>
      <c r="J56" s="10" t="e">
        <f>SUMIFS('[7]TABLO-1'!T1:T32873,'[7]TABLO-1'!H1:H32873,"=İletim",'[7]TABLO-1'!K1:K32873,"=Bildirimsiz",'[7]TABLO-1'!I1:I32873,"=Kısa",'[7]TABLO-1'!D1:D32873,"=SÜLEYMANPAŞA")/P14</f>
        <v>#DIV/0!</v>
      </c>
      <c r="K56" s="10" t="str">
        <f>IFERROR((((I56*$P$8)+(J56*$P$14))/$P$23),"0,00")</f>
        <v>0,00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SUMIFS('[7]TABLO-1'!O4:O32873,'[7]TABLO-1'!H4:H32873,"=Dağıtım-OG",'[7]TABLO-1'!K4:K32873,"=Bildirimsiz",'[7]TABLO-1'!I4:I32873,"=Kısa",'[7]TABLO-1'!D4:D32873,"=SÜLEYMANPAŞA")/P6</f>
        <v>9.8513011152416355E-2</v>
      </c>
      <c r="D57" s="10">
        <f>SUMIFS('[7]TABLO-1'!P4:P32873,'[7]TABLO-1'!H4:H32873,"=Dağıtım-OG",'[7]TABLO-1'!K4:K32873,"=Bildirimsiz",'[7]TABLO-1'!I4:I32873,"=Kısa",'[7]TABLO-1'!D4:D32873,"=SÜLEYMANPAŞA")/P12</f>
        <v>2.2986888562833731E-2</v>
      </c>
      <c r="E57" s="10">
        <f>IFERROR((((C57*$P$6)+(D57*$P$12))/$P$17),"0,00")</f>
        <v>2.3527455349718961E-2</v>
      </c>
      <c r="F57" s="10" t="e">
        <f>SUMIFS('[7]TABLO-1'!Q4:Q32873,'[7]TABLO-1'!H4:H32873,"=Dağıtım-OG",'[7]TABLO-1'!K4:K32873,"=Bildirimsiz",'[7]TABLO-1'!I4:I32873,"=Kısa",'[7]TABLO-1'!D4:D32873,"=SÜLEYMANPAŞA")/P7</f>
        <v>#DIV/0!</v>
      </c>
      <c r="G57" s="10" t="e">
        <f>SUMIFS('[7]TABLO-1'!R4:R32873,'[7]TABLO-1'!H4:H32873,"=Dağıtım-OG",'[7]TABLO-1'!K4:K32873,"=Bildirimsiz",'[7]TABLO-1'!I4:I32873,"=Kısa",'[7]TABLO-1'!D4:D32873,"=SÜLEYMANPAŞA")/P13</f>
        <v>#DIV/0!</v>
      </c>
      <c r="H57" s="10" t="str">
        <f>IFERROR((((F57*$P$7)+(G57*$P$13))/$P$20),"0,00")</f>
        <v>0,00</v>
      </c>
      <c r="I57" s="10" t="e">
        <f>SUMIFS('[7]TABLO-1'!S4:S32873,'[7]TABLO-1'!H4:H32873,"=Dağıtım-OG",'[7]TABLO-1'!K4:K32873,"=Bildirimsiz",'[7]TABLO-1'!I4:I32873,"=Kısa",'[7]TABLO-1'!D4:D32873,"=SÜLEYMANPAŞA")/P8</f>
        <v>#DIV/0!</v>
      </c>
      <c r="J57" s="10" t="e">
        <f>SUMIFS('[7]TABLO-1'!T4:T32873,'[7]TABLO-1'!H4:H32873,"=Dağıtım-OG",'[7]TABLO-1'!K4:K32873,"=Bildirimsiz",'[7]TABLO-1'!I4:I32873,"=Kısa",'[7]TABLO-1'!D4:D32873,"=SÜLEYMANPAŞA")/P14</f>
        <v>#DIV/0!</v>
      </c>
      <c r="K57" s="10" t="str">
        <f>IFERROR((((I57*$P$8)+(J57*$P$14))/$P$23),"0,00")</f>
        <v>0,00</v>
      </c>
      <c r="L57" s="11">
        <f>IFERROR((((E57*$P$17)+(H57*$P$20)+(K57*$P$23))/$P$26),"0,00")</f>
        <v>2.3527455349718961E-2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SUMIFS('[7]TABLO-1'!O4:O32873,'[7]TABLO-1'!H4:H32873,"=Dağıtım-AG",'[7]TABLO-1'!K4:K32873,"=Bildirimsiz",'[7]TABLO-1'!I4:I32873,"=Kısa",'[7]TABLO-1'!D4:D32873,"=SÜLEYMANPAŞA")/P6</f>
        <v>0</v>
      </c>
      <c r="D58" s="10">
        <f>SUMIFS('[7]TABLO-1'!P4:P32873,'[7]TABLO-1'!H4:H32873,"=Dağıtım-AG",'[7]TABLO-1'!K4:K32873,"=Bildirimsiz",'[7]TABLO-1'!I4:I32873,"=Kısa",'[7]TABLO-1'!D4:D32873,"=SÜLEYMANPAŞA")/P12</f>
        <v>2.1372245559731743E-3</v>
      </c>
      <c r="E58" s="10">
        <f>IFERROR((((C58*$P$6)+(D58*$P$12))/$P$17),"0,00")</f>
        <v>2.1219276948149135E-3</v>
      </c>
      <c r="F58" s="10" t="e">
        <f>SUMIFS('[7]TABLO-1'!Q4:Q32873,'[7]TABLO-1'!H4:H32873,"=Dağıtım-AG",'[7]TABLO-1'!K4:K32873,"=Bildirimsiz",'[7]TABLO-1'!I4:I32873,"=Kısa",'[7]TABLO-1'!D4:D32873,"=SÜLEYMANPAŞA")/P7</f>
        <v>#DIV/0!</v>
      </c>
      <c r="G58" s="10" t="e">
        <f>SUMIFS('[7]TABLO-1'!R4:R32873,'[7]TABLO-1'!H4:H32873,"=Dağıtım-AG",'[7]TABLO-1'!K4:K32873,"=Bildirimsiz",'[7]TABLO-1'!I4:I32873,"=Kısa",'[7]TABLO-1'!D4:D32873,"=SÜLEYMANPAŞA")/P13</f>
        <v>#DIV/0!</v>
      </c>
      <c r="H58" s="10" t="str">
        <f>IFERROR((((F58*$P$7)+(G58*$P$13))/$P$20),"0,00")</f>
        <v>0,00</v>
      </c>
      <c r="I58" s="10" t="e">
        <f>SUMIFS('[7]TABLO-1'!S4:S32873,'[7]TABLO-1'!H4:H32873,"=Dağıtım-AG",'[7]TABLO-1'!K4:K32873,"=Bildirimsiz",'[7]TABLO-1'!I4:I32873,"=Kısa",'[7]TABLO-1'!D4:D32873,"=SÜLEYMANPAŞA")/P8</f>
        <v>#DIV/0!</v>
      </c>
      <c r="J58" s="10" t="e">
        <f>SUMIFS('[7]TABLO-1'!T4:T32873,'[7]TABLO-1'!H4:H32873,"=Dağıtım-AG",'[7]TABLO-1'!K4:K32873,"=Bildirimsiz",'[7]TABLO-1'!I4:I32873,"=Kısa",'[7]TABLO-1'!D4:D32873,"=SÜLEYMANPAŞA")/P14</f>
        <v>#DIV/0!</v>
      </c>
      <c r="K58" s="10" t="str">
        <f>IFERROR((((I58*$P$8)+(J58*$P$14))/$P$23),"0,00")</f>
        <v>0,00</v>
      </c>
      <c r="L58" s="11">
        <f>IFERROR((((E58*$P$17)+(H58*$P$20)+(K58*$P$23))/$P$26),"0,00")</f>
        <v>2.1219276948149135E-3</v>
      </c>
    </row>
    <row r="59" spans="2:13" ht="15" customHeight="1" thickBot="1" x14ac:dyDescent="0.3">
      <c r="B59" s="30" t="s">
        <v>20</v>
      </c>
      <c r="C59" s="10">
        <f t="shared" ref="C59:L59" si="20">SUM(C56:C58)</f>
        <v>9.8513011152416355E-2</v>
      </c>
      <c r="D59" s="10">
        <f t="shared" si="20"/>
        <v>2.5124113118806905E-2</v>
      </c>
      <c r="E59" s="10">
        <f t="shared" si="20"/>
        <v>2.5649383044533874E-2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 t="e">
        <f t="shared" si="20"/>
        <v>#DIV/0!</v>
      </c>
      <c r="J59" s="10" t="e">
        <f t="shared" si="20"/>
        <v>#DIV/0!</v>
      </c>
      <c r="K59" s="10">
        <f t="shared" si="20"/>
        <v>0</v>
      </c>
      <c r="L59" s="10">
        <f t="shared" si="20"/>
        <v>2.5649383044533874E-2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1076</v>
      </c>
      <c r="D65" s="27">
        <f>P12</f>
        <v>149259</v>
      </c>
      <c r="E65" s="27">
        <f>C65+D65</f>
        <v>150335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0</v>
      </c>
      <c r="J65" s="27">
        <f>P14</f>
        <v>0</v>
      </c>
      <c r="K65" s="17">
        <f>SUM(I65:J65)</f>
        <v>0</v>
      </c>
      <c r="L65" s="17">
        <f>H65+E65+K65</f>
        <v>150335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Q71"/>
  <sheetViews>
    <sheetView zoomScale="70" zoomScaleNormal="70" workbookViewId="0">
      <selection activeCell="O32" sqref="O32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İşletmecisi",'[7]TABLO-1'!K4:K32873,"=Bildirimsiz",'[7]TABLO-1'!I4:I32873,"=Uzun",'[7]TABLO-1'!D4:D32873,"=MURATLI")/P6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İşletmecisi",'[7]TABLO-1'!K4:K32873,"=Bildirimsiz",'[7]TABLO-1'!I4:I32873,"=Uzun",'[7]TABLO-1'!D4:D32873,"=MURATLI")/P12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İşletmecisi",'[7]TABLO-1'!K4:K32873,"=Bildirimsiz",'[7]TABLO-1'!I4:I32873,"=Uzun",'[7]TABLO-1'!D4:D32873,"=MURATLI")/P7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İşletmecisi",'[7]TABLO-1'!K4:K32873,"=Bildirimsiz",'[7]TABLO-1'!I4:I32873,"=Uzun",'[7]TABLO-1'!D4:D32873,"=MURATLI")/P13</f>
        <v>#DIV/0!</v>
      </c>
      <c r="I6" s="10" t="str">
        <f>IFERROR((((G6*$P$7)+(H6*$P$13))/$P$20),"0,00")</f>
        <v>0,00</v>
      </c>
      <c r="J6" s="10" t="e">
        <f>SUMIFS('[7]TABLO-1'!Y4:Y32873,'[7]TABLO-1'!H4:H32873,"=İletim",'[7]TABLO-1'!J4:J32873,"=Şebeke İşletmecisi",'[7]TABLO-1'!K4:K32873,"=Bildirimsiz",'[7]TABLO-1'!I4:I32873,"=Uzun",'[7]TABLO-1'!D4:D32873,"=MURATLI")/P8</f>
        <v>#DIV/0!</v>
      </c>
      <c r="K6" s="10" t="e">
        <f>SUMIFS('[7]TABLO-1'!Z4:Z32873,'[7]TABLO-1'!H4:H32873,"=İletim",'[7]TABLO-1'!J4:J32873,"=Şebeke İşletmecisi",'[7]TABLO-1'!K4:K32873,"=Bildirimsiz",'[7]TABLO-1'!I4:I32873,"=Uzun",'[7]TABLO-1'!D4:D32873,"=MURATLI")/P14</f>
        <v>#DIV/0!</v>
      </c>
      <c r="L6" s="10" t="str">
        <f>IFERROR((((J6*$P$8)+(K6*$P$14))/$P$23),"0,00")</f>
        <v>0,00</v>
      </c>
      <c r="M6" s="11">
        <f>IFERROR((((F6*$P$17)+(I6*$P$20)+(L6*$P$23))/$P$26),"0,00")</f>
        <v>0</v>
      </c>
      <c r="O6" s="20" t="s">
        <v>33</v>
      </c>
      <c r="P6" s="40">
        <v>175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Sebep",'[7]TABLO-1'!K4:K32873,"=Bildirimsiz",'[7]TABLO-1'!I4:I32873,"=Uzun",'[7]TABLO-1'!D4:D32873,"=MURATLI")/P6</f>
        <v>0</v>
      </c>
      <c r="E7" s="10">
        <f>SUMIFS('[7]TABLO-1'!V4:V32873,'[7]TABLO-1'!H4:H32873,"=İletim",'[7]TABLO-1'!J4:J32873,"=Mücbir Sebep",'[7]TABLO-1'!K4:K32873,"=Bildirimsiz",'[7]TABLO-1'!I4:I32873,"=Uzun",'[7]TABLO-1'!D4:D32873,"=MURATLI")/P12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Sebep",'[7]TABLO-1'!K4:K32873,"=Bildirimsiz",'[7]TABLO-1'!I4:I32873,"=Uzun",'[7]TABLO-1'!D4:D32873,"=MURATLI")/P7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Sebep",'[7]TABLO-1'!K4:K32873,"=Bildirimsiz",'[7]TABLO-1'!I4:I32873,"=Uzun",'[7]TABLO-1'!D4:D32873,"=MURATLI")/P13</f>
        <v>#DIV/0!</v>
      </c>
      <c r="I7" s="10" t="str">
        <f t="shared" ref="I7:I15" si="1">IFERROR((((G7*$P$7)+(H7*$P$13))/$P$20),"0,00")</f>
        <v>0,00</v>
      </c>
      <c r="J7" s="10" t="e">
        <f>SUMIFS('[7]TABLO-1'!Y4:Y32873,'[7]TABLO-1'!H4:H32873,"=İletim",'[7]TABLO-1'!J4:J32873,"=Mücbir Sebep",'[7]TABLO-1'!K4:K32873,"=Bildirimsiz",'[7]TABLO-1'!I4:I32873,"=Uzun",'[7]TABLO-1'!D4:D32873,"=MURATLI")/P8</f>
        <v>#DIV/0!</v>
      </c>
      <c r="K7" s="10" t="e">
        <f>SUMIFS('[7]TABLO-1'!Z4:Z32873,'[7]TABLO-1'!H4:H32873,"=İletim",'[7]TABLO-1'!J4:J32873,"=Mücbir Sebep",'[7]TABLO-1'!K4:K32873,"=Bildirimsiz",'[7]TABLO-1'!I4:I32873,"=Uzun",'[7]TABLO-1'!D4:D32873,"=MURATLI")/P14</f>
        <v>#DIV/0!</v>
      </c>
      <c r="L7" s="10" t="str">
        <f t="shared" ref="L7:L15" si="2">IFERROR((((J7*$P$8)+(K7*$P$14))/$P$23),"0,00")</f>
        <v>0,00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İşletmecisi",'[7]TABLO-1'!K4:K32873,"=Bildirimsiz",'[7]TABLO-1'!I4:I32873,"=Uzun",'[7]TABLO-1'!D4:D32873,"=MURATLI")/P6</f>
        <v>13.490095237456263</v>
      </c>
      <c r="E8" s="10">
        <f>SUMIFS('[7]TABLO-1'!V4:V32873,'[7]TABLO-1'!H4:H32873,"=Dağıtım-OG",'[7]TABLO-1'!J4:J32873,"=Şebeke İşletmecisi",'[7]TABLO-1'!K4:K32873,"=Bildirimsiz",'[7]TABLO-1'!I4:I32873,"=Uzun",'[7]TABLO-1'!D4:D32873,"=MURATLI")/P12</f>
        <v>9.5104679141443995</v>
      </c>
      <c r="F8" s="10">
        <f t="shared" si="0"/>
        <v>9.5448478707806022</v>
      </c>
      <c r="G8" s="10" t="e">
        <f>SUMIFS('[7]TABLO-1'!W4:W32873,'[7]TABLO-1'!H4:H32873,"=Dağıtım-OG",'[7]TABLO-1'!J4:J32873,"=Şebeke İşletmecisi",'[7]TABLO-1'!K4:K32873,"=Bildirimsiz",'[7]TABLO-1'!I4:I32873,"=Uzun",'[7]TABLO-1'!D4:D32873,"=MURATLI")/P7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İşletmecisi",'[7]TABLO-1'!K4:K32873,"=Bildirimsiz",'[7]TABLO-1'!I4:I32873,"=Uzun",'[7]TABLO-1'!D4:D32873,"=MURATLI")/P13</f>
        <v>#DIV/0!</v>
      </c>
      <c r="I8" s="10" t="str">
        <f t="shared" si="1"/>
        <v>0,00</v>
      </c>
      <c r="J8" s="10" t="e">
        <f>SUMIFS('[7]TABLO-1'!Y4:Y32873,'[7]TABLO-1'!H4:H32873,"=Dağıtım-OG",'[7]TABLO-1'!J4:J32873,"=Şebeke İşletmecisi",'[7]TABLO-1'!K4:K32873,"=Bildirimsiz",'[7]TABLO-1'!I4:I32873,"=Uzun",'[7]TABLO-1'!D4:D32873,"=MURATLI")/P8</f>
        <v>#DIV/0!</v>
      </c>
      <c r="K8" s="10" t="e">
        <f>SUMIFS('[7]TABLO-1'!Z4:Z32873,'[7]TABLO-1'!H4:H32873,"=Dağıtım-OG",'[7]TABLO-1'!J4:J32873,"=Şebeke İşletmecisi",'[7]TABLO-1'!K4:K32873,"=Bildirimsiz",'[7]TABLO-1'!I4:I32873,"=Uzun",'[7]TABLO-1'!D4:D32873,"=MURATLI")/P14</f>
        <v>#DIV/0!</v>
      </c>
      <c r="L8" s="10" t="str">
        <f t="shared" si="2"/>
        <v>0,00</v>
      </c>
      <c r="M8" s="11">
        <f t="shared" si="3"/>
        <v>9.5448478707806022</v>
      </c>
      <c r="O8" s="20" t="s">
        <v>36</v>
      </c>
      <c r="P8" s="53">
        <v>0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SUMIFS('[7]TABLO-1'!U4:U32873,'[7]TABLO-1'!H4:H32873,"=Dağıtım-OG",'[7]TABLO-1'!J4:J32873,"=Dışsal",'[7]TABLO-1'!K4:K32873,"=Bildirimsiz",'[7]TABLO-1'!I4:I32873,"=Uzun",'[7]TABLO-1'!D4:D32873,"=MURATLI")/P6</f>
        <v>0</v>
      </c>
      <c r="E9" s="10">
        <f>SUMIFS('[7]TABLO-1'!V4:V32873,'[7]TABLO-1'!H4:H32873,"=Dağıtım-OG",'[7]TABLO-1'!J4:J32873,"=Dışsal",'[7]TABLO-1'!K4:K32873,"=Bildirimsiz",'[7]TABLO-1'!I4:I32873,"=Uzun",'[7]TABLO-1'!D4:D32873,"=MURATLI")/P12</f>
        <v>1.1263818343374228</v>
      </c>
      <c r="F9" s="10">
        <f t="shared" si="0"/>
        <v>1.1166510340704014</v>
      </c>
      <c r="G9" s="10" t="e">
        <f>SUMIFS('[7]TABLO-1'!W4:W32873,'[7]TABLO-1'!H4:H32873,"=Dağıtım-OG",'[7]TABLO-1'!J4:J32873,"=Dışsal",'[7]TABLO-1'!K4:K32873,"=Bildirimsiz",'[7]TABLO-1'!I4:I32873,"=Uzun",'[7]TABLO-1'!D4:D32873,"=MURATLI")/P7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SUMIFS('[7]TABLO-1'!X4:X32873,'[7]TABLO-1'!H4:H32873,"=Dağıtım-OG",'[7]TABLO-1'!J4:J32873,"=Dışsal",'[7]TABLO-1'!K4:K32873,"=Bildirimsiz",'[7]TABLO-1'!I4:I32873,"=Uzun",'[7]TABLO-1'!D4:D32873,"=MURATLI")/P13</f>
        <v>#DIV/0!</v>
      </c>
      <c r="I9" s="10" t="str">
        <f t="shared" si="1"/>
        <v>0,00</v>
      </c>
      <c r="J9" s="10" t="e">
        <f>SUMIFS('[7]TABLO-1'!Y4:Y32873,'[7]TABLO-1'!H4:H32873,"=Dağıtım-OG",'[7]TABLO-1'!J4:J32873,"=Dışsal",'[7]TABLO-1'!K4:K32873,"=Bildirimsiz",'[7]TABLO-1'!I4:I32873,"=Uzun",'[7]TABLO-1'!D4:D32873,"=MURATLI")/P8</f>
        <v>#DIV/0!</v>
      </c>
      <c r="K9" s="10" t="e">
        <f>SUMIFS('[7]TABLO-1'!Z4:Z32873,'[7]TABLO-1'!H4:H32873,"=Dağıtım-OG",'[7]TABLO-1'!J4:J32873,"=Dışsal",'[7]TABLO-1'!K4:K32873,"=Bildirimsiz",'[7]TABLO-1'!I4:I32873,"=Uzun",'[7]TABLO-1'!D4:D32873,"=MURATLI")/P14</f>
        <v>#DIV/0!</v>
      </c>
      <c r="L9" s="10" t="str">
        <f t="shared" si="2"/>
        <v>0,00</v>
      </c>
      <c r="M9" s="11">
        <f t="shared" si="3"/>
        <v>1.1166510340704014</v>
      </c>
      <c r="O9" s="20" t="s">
        <v>17</v>
      </c>
      <c r="P9" s="53">
        <f>P6+P7+P8</f>
        <v>175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Sebep",'[7]TABLO-1'!K4:K32873,"=Bildirimsiz",'[7]TABLO-1'!I4:I32873,"=Uzun",'[7]TABLO-1'!D4:D32873,"=MURATLI")/P6</f>
        <v>0</v>
      </c>
      <c r="E10" s="10">
        <f>SUMIFS('[7]TABLO-1'!V4:V32873,'[7]TABLO-1'!H4:H32873,"=Dağıtım-OG",'[7]TABLO-1'!J4:J32873,"=Mücbir Sebep",'[7]TABLO-1'!K4:K32873,"=Bildirimsiz",'[7]TABLO-1'!I4:I32873,"=Uzun",'[7]TABLO-1'!D4:D32873,"=MURATLI")/P12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Sebep",'[7]TABLO-1'!K4:K32873,"=Bildirimsiz",'[7]TABLO-1'!I4:I32873,"=Uzun",'[7]TABLO-1'!D4:D32873,"=MURATLI")/P7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Sebep",'[7]TABLO-1'!K4:K32873,"=Bildirimsiz",'[7]TABLO-1'!I4:I32873,"=Uzun",'[7]TABLO-1'!D4:D32873,"=MURATLI")/P13</f>
        <v>#DIV/0!</v>
      </c>
      <c r="I10" s="10" t="str">
        <f t="shared" si="1"/>
        <v>0,00</v>
      </c>
      <c r="J10" s="10" t="e">
        <f>SUMIFS('[7]TABLO-1'!Y4:Y32873,'[7]TABLO-1'!H4:H32873,"=Dağıtım-OG",'[7]TABLO-1'!J4:J32873,"=Mücbir Sebep",'[7]TABLO-1'!K4:K32873,"=Bildirimsiz",'[7]TABLO-1'!I4:I32873,"=Uzun",'[7]TABLO-1'!D4:D32873,"=MURATLI")/P8</f>
        <v>#DIV/0!</v>
      </c>
      <c r="K10" s="10" t="e">
        <f>SUMIFS('[7]TABLO-1'!Z4:Z32873,'[7]TABLO-1'!H4:H32873,"=Dağıtım-OG",'[7]TABLO-1'!J4:J32873,"=Mücbir Sebep",'[7]TABLO-1'!K4:K32873,"=Bildirimsiz",'[7]TABLO-1'!I4:I32873,"=Uzun",'[7]TABLO-1'!D4:D32873,"=MURATLI")/P14</f>
        <v>#DIV/0!</v>
      </c>
      <c r="L10" s="10" t="str">
        <f t="shared" si="2"/>
        <v>0,00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SUMIFS('[7]TABLO-1'!U4:U32873,'[7]TABLO-1'!H4:H32873,"=Dağıtım-OG",'[7]TABLO-1'!J4:J32873,"=Güvenlik",'[7]TABLO-1'!K4:K32873,"=Bildirimsiz",'[7]TABLO-1'!I4:I32873,"=Uzun",'[7]TABLO-1'!D4:D32873,"=MURATLI")/P6</f>
        <v>0</v>
      </c>
      <c r="E11" s="10">
        <f>SUMIFS('[7]TABLO-1'!V4:V32873,'[7]TABLO-1'!H4:H32873,"=Dağıtım-OG",'[7]TABLO-1'!J4:J32873,"=Güvenlik",'[7]TABLO-1'!K4:K32873,"=Bildirimsiz",'[7]TABLO-1'!I4:I32873,"=Uzun",'[7]TABLO-1'!D4:D32873,"=MURATLI")/P12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SUMIFS('[7]TABLO-1'!W4:W32873,'[7]TABLO-1'!H4:H32873,"=Dağıtım-OG",'[7]TABLO-1'!J4:J32873,"=Güvenlik",'[7]TABLO-1'!K4:K32873,"=Bildirimsiz",'[7]TABLO-1'!I4:I32873,"=Uzun",'[7]TABLO-1'!D4:D32873,"=MURATLI")/P7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SUMIFS('[7]TABLO-1'!X4:X32873,'[7]TABLO-1'!H4:H32873,"=Dağıtım-OG",'[7]TABLO-1'!J4:J32873,"=Güvenlik",'[7]TABLO-1'!K4:K32873,"=Bildirimsiz",'[7]TABLO-1'!I4:I32873,"=Uzun",'[7]TABLO-1'!D4:D32873,"=MURATLI")/P13</f>
        <v>#DIV/0!</v>
      </c>
      <c r="I11" s="10" t="str">
        <f t="shared" si="1"/>
        <v>0,00</v>
      </c>
      <c r="J11" s="10" t="e">
        <f>SUMIFS('[7]TABLO-1'!Y4:Y32873,'[7]TABLO-1'!H4:H32873,"=Dağıtım-OG",'[7]TABLO-1'!J4:J32873,"=Güvenlik",'[7]TABLO-1'!K4:K32873,"=Bildirimsiz",'[7]TABLO-1'!I4:I32873,"=Uzun",'[7]TABLO-1'!D4:D32873,"=MURATLI")/P8</f>
        <v>#DIV/0!</v>
      </c>
      <c r="K11" s="10" t="e">
        <f>SUMIFS('[7]TABLO-1'!Z4:Z32873,'[7]TABLO-1'!H4:H32873,"=Dağıtım-OG",'[7]TABLO-1'!J4:J32873,"=Güvenlik",'[7]TABLO-1'!K4:K32873,"=Bildirimsiz",'[7]TABLO-1'!I4:I32873,"=Uzun",'[7]TABLO-1'!D4:D32873,"=MURATLI")/P14</f>
        <v>#DIV/0!</v>
      </c>
      <c r="L11" s="10" t="str">
        <f t="shared" si="2"/>
        <v>0,00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İşletmecisi",'[7]TABLO-1'!K4:K32873,"=Bildirimsiz",'[7]TABLO-1'!I4:I32873,"=Uzun",'[7]TABLO-1'!D4:D32873,"=MURATLI")/P6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işletmecisi",'[7]TABLO-1'!K4:K32873,"=Bildirimsiz",'[7]TABLO-1'!I4:I32873,"=Uzun",'[7]TABLO-1'!D4:D32873,"=MURATLI")/P12</f>
        <v>4.1826810079566847</v>
      </c>
      <c r="F12" s="10">
        <f t="shared" si="0"/>
        <v>4.1465468727741586</v>
      </c>
      <c r="G12" s="12" t="e">
        <f>SUMIFS('[7]TABLO-1'!W4:W32873,'[7]TABLO-1'!H4:H32873,"=Dağıtım-AG",'[7]TABLO-1'!J4:J32873,"=Şebeke İşletmecisi",'[7]TABLO-1'!K4:K32873,"=Bildirimsiz",'[7]TABLO-1'!I4:I32873,"=Uzun",'[7]TABLO-1'!D4:D32873,"=MURATLI")/P7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İşletmecisi",'[7]TABLO-1'!K4:K32873,"=Bildirimsiz",'[7]TABLO-1'!I4:I32873,"=Uzun",'[7]TABLO-1'!D4:D32873,"=MURATLI")/P13</f>
        <v>#DIV/0!</v>
      </c>
      <c r="I12" s="10" t="str">
        <f t="shared" si="1"/>
        <v>0,00</v>
      </c>
      <c r="J12" s="12" t="e">
        <f>SUMIFS('[7]TABLO-1'!Y4:Y32873,'[7]TABLO-1'!H4:H32873,"=Dağıtım-AG",'[7]TABLO-1'!J4:J32873,"=Şebeke İşletmecisi",'[7]TABLO-1'!K4:K32873,"=Bildirimsiz",'[7]TABLO-1'!I4:I32873,"=Uzun",'[7]TABLO-1'!D4:D32873,"=MURATLI")/P8</f>
        <v>#DIV/0!</v>
      </c>
      <c r="K12" s="10" t="e">
        <f>SUMIFS('[7]TABLO-1'!Z4:Z32873,'[7]TABLO-1'!H4:H32873,"=Dağıtım-AG",'[7]TABLO-1'!J4:J32873,"=Şebeke İşletmecisi",'[7]TABLO-1'!K4:K32873,"=Bildirimsiz",'[7]TABLO-1'!I4:I32873,"=Uzun",'[7]TABLO-1'!D4:D32873,"=MURATLI")/P14</f>
        <v>#DIV/0!</v>
      </c>
      <c r="L12" s="10" t="str">
        <f t="shared" si="2"/>
        <v>0,00</v>
      </c>
      <c r="M12" s="11">
        <f t="shared" si="3"/>
        <v>4.1465468727741586</v>
      </c>
      <c r="O12" s="6" t="s">
        <v>33</v>
      </c>
      <c r="P12" s="42">
        <v>20082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SUMIFS('[7]TABLO-1'!U4:U32873,'[7]TABLO-1'!H4:H32873,"=Dağıtım-AG",'[7]TABLO-1'!J4:J32873,"=Dışsal",'[7]TABLO-1'!K4:K32873,"=Bildirimsiz",'[7]TABLO-1'!I4:I32873,"=Uzun",'[7]TABLO-1'!D4:D32873,"=MURATLI")/P6</f>
        <v>0</v>
      </c>
      <c r="E13" s="10">
        <f>SUMIFS('[7]TABLO-1'!V4:V32873,'[7]TABLO-1'!H4:H32873,"=Dağıtım-AG",'[7]TABLO-1'!J4:J32873,"=Dışsal",'[7]TABLO-1'!K4:K32873,"=Bildirimsiz",'[7]TABLO-1'!I4:I32873,"=Uzun",'[7]TABLO-1'!D4:D32873,"=MURATLI")/P12</f>
        <v>0</v>
      </c>
      <c r="F13" s="10">
        <f t="shared" si="0"/>
        <v>0</v>
      </c>
      <c r="G13" s="12" t="e">
        <f>SUMIFS('[7]TABLO-1'!W4:W32873,'[7]TABLO-1'!H4:H32873,"=Dağıtım-AG",'[7]TABLO-1'!J4:J32873,"=Dışsal",'[7]TABLO-1'!K4:K32873,"=Bildirimsiz",'[7]TABLO-1'!I4:I32873,"=Uzun",'[7]TABLO-1'!D4:D32873,"=MURATLI")/P7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SUMIFS('[7]TABLO-1'!X4:X32873,'[7]TABLO-1'!H4:H32873,"=Dağıtım-AG",'[7]TABLO-1'!J4:J32873,"=Dışsal",'[7]TABLO-1'!K4:K32873,"=Bildirimsiz",'[7]TABLO-1'!I4:I32873,"=Uzun",'[7]TABLO-1'!D4:D32873,"=MURATLI")/P13</f>
        <v>#DIV/0!</v>
      </c>
      <c r="I13" s="10" t="str">
        <f t="shared" si="1"/>
        <v>0,00</v>
      </c>
      <c r="J13" s="12" t="e">
        <f>SUMIFS('[7]TABLO-1'!Y4:Y32873,'[7]TABLO-1'!H4:H32873,"=Dağıtım-AG",'[7]TABLO-1'!J4:J32873,"=Dışsal",'[7]TABLO-1'!K4:K32873,"=Bildirimsiz",'[7]TABLO-1'!I4:I32873,"=Uzun",'[7]TABLO-1'!D4:D32873,"=MURATLI")/P8</f>
        <v>#DIV/0!</v>
      </c>
      <c r="K13" s="10" t="e">
        <f>SUMIFS('[7]TABLO-1'!Z4:Z32873,'[7]TABLO-1'!H4:H32873,"=Dağıtım-AG",'[7]TABLO-1'!J4:J32873,"=Dışsal",'[7]TABLO-1'!K4:K32873,"=Bildirimsiz",'[7]TABLO-1'!I4:I32873,"=Uzun",'[7]TABLO-1'!D4:D32873,"=MURATLI")/P14</f>
        <v>#DIV/0!</v>
      </c>
      <c r="L13" s="10" t="str">
        <f t="shared" si="2"/>
        <v>0,00</v>
      </c>
      <c r="M13" s="11">
        <f t="shared" si="3"/>
        <v>0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Sebep",'[7]TABLO-1'!K4:K32873,"=Bildirimsiz",'[7]TABLO-1'!I4:I32873,"=Uzun",'[7]TABLO-1'!D4:D32873,"=MURATLI")/P6</f>
        <v>0</v>
      </c>
      <c r="E14" s="10">
        <f>SUMIFS('[7]TABLO-1'!V4:V32873,'[7]TABLO-1'!H4:H32873,"=Dağıtım-AG",'[7]TABLO-1'!J4:J32873,"=Mücbir Sebep",'[7]TABLO-1'!K4:K32873,"=Bildirimsiz",'[7]TABLO-1'!I4:I32873,"=Uzun",'[7]TABLO-1'!D4:D32873,"=MURATLI")/P12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Sebep",'[7]TABLO-1'!K4:K32873,"=Bildirimsiz",'[7]TABLO-1'!I4:I32873,"=Uzun",'[7]TABLO-1'!D4:D32873,"=MURATLI")/P7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Sebep",'[7]TABLO-1'!K4:K32873,"=Bildirimsiz",'[7]TABLO-1'!I4:I32873,"=Uzun",'[7]TABLO-1'!D4:D32873,"=MURATLI")/P13</f>
        <v>#DIV/0!</v>
      </c>
      <c r="I14" s="10" t="str">
        <f t="shared" si="1"/>
        <v>0,00</v>
      </c>
      <c r="J14" s="12" t="e">
        <f>SUMIFS('[7]TABLO-1'!Y4:Y32873,'[7]TABLO-1'!H4:H32873,"=Dağıtım-AG",'[7]TABLO-1'!J4:J32873,"=Mücbir Sebep",'[7]TABLO-1'!K4:K32873,"=Bildirimsiz",'[7]TABLO-1'!I4:I32873,"=Uzun",'[7]TABLO-1'!D4:D32873,"=MURATLI")/P8</f>
        <v>#DIV/0!</v>
      </c>
      <c r="K14" s="10" t="e">
        <f>SUMIFS('[7]TABLO-1'!Z4:Z32873,'[7]TABLO-1'!H4:H32873,"=Dağıtım-AG",'[7]TABLO-1'!J4:J32873,"=Mücbir Sebep",'[7]TABLO-1'!K4:K32873,"=Bildirimsiz",'[7]TABLO-1'!I4:I32873,"=Uzun",'[7]TABLO-1'!D4:D32873,"=MURATLI")/P14</f>
        <v>#DIV/0!</v>
      </c>
      <c r="L14" s="10" t="str">
        <f t="shared" si="2"/>
        <v>0,00</v>
      </c>
      <c r="M14" s="11">
        <f t="shared" si="3"/>
        <v>0</v>
      </c>
      <c r="O14" s="6" t="s">
        <v>36</v>
      </c>
      <c r="P14" s="42">
        <v>0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SUMIFS('[7]TABLO-1'!U4:U32873,'[7]TABLO-1'!H4:H32873,"=Dağıtım-AG",'[7]TABLO-1'!J4:J32873,"=Güvenlik",'[7]TABLO-1'!K4:K32873,"=Bildirimsiz",'[7]TABLO-1'!I4:I32873,"=Uzun",'[7]TABLO-1'!D4:D32873,"=MURATLI")/P6</f>
        <v>0</v>
      </c>
      <c r="E15" s="10">
        <f>SUMIFS('[7]TABLO-1'!V4:V32873,'[7]TABLO-1'!H4:H32873,"=Dağıtım-AG",'[7]TABLO-1'!J4:J32873,"=Güvenlik",'[7]TABLO-1'!K4:K32873,"=Bildirimsiz",'[7]TABLO-1'!I4:I32873,"=Uzun",'[7]TABLO-1'!D4:D32873,"=MURATLI")/P12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SUMIFS('[7]TABLO-1'!W4:W32873,'[7]TABLO-1'!H4:H32873,"=Dağıtım-AG",'[7]TABLO-1'!J4:J32873,"=Güvenlik",'[7]TABLO-1'!K4:K32873,"=Bildirimsiz",'[7]TABLO-1'!I4:I32873,"=Uzun",'[7]TABLO-1'!D4:D32873,"=MURATLI")/P7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SUMIFS('[7]TABLO-1'!X4:X32873,'[7]TABLO-1'!H4:H32873,"=Dağıtım-AG",'[7]TABLO-1'!J4:J32873,"=Güvenlik",'[7]TABLO-1'!K4:K32873,"=Bildirimsiz",'[7]TABLO-1'!I4:I32873,"=Uzun",'[7]TABLO-1'!D4:D32873,"=MURATLI")/P13</f>
        <v>#DIV/0!</v>
      </c>
      <c r="I15" s="10" t="str">
        <f t="shared" si="1"/>
        <v>0,00</v>
      </c>
      <c r="J15" s="12" t="e">
        <f>SUMIFS('[7]TABLO-1'!Y4:Y32873,'[7]TABLO-1'!H4:H32873,"=Dağıtım-AG",'[7]TABLO-1'!J4:J32873,"=Güvenlik",'[7]TABLO-1'!K4:K32873,"=Bildirimsiz",'[7]TABLO-1'!I4:I32873,"=Uzun",'[7]TABLO-1'!D4:D32873,"=MURATLI")/P8</f>
        <v>#DIV/0!</v>
      </c>
      <c r="K15" s="10" t="e">
        <f>SUMIFS('[7]TABLO-1'!Z4:Z32873,'[7]TABLO-1'!H4:H32873,"=Dağıtım-AG",'[7]TABLO-1'!J4:J32873,"=Güvenlik",'[7]TABLO-1'!K4:K32873,"=Bildirimsiz",'[7]TABLO-1'!I4:I32873,"=Uzun",'[7]TABLO-1'!D4:D32873,"=MURATLI")/P14</f>
        <v>#DIV/0!</v>
      </c>
      <c r="L15" s="10" t="str">
        <f t="shared" si="2"/>
        <v>0,00</v>
      </c>
      <c r="M15" s="11">
        <f t="shared" si="3"/>
        <v>0</v>
      </c>
      <c r="O15" s="6" t="s">
        <v>17</v>
      </c>
      <c r="P15" s="42">
        <f>SUM(P12:P14)</f>
        <v>20082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13.490095237456263</v>
      </c>
      <c r="E16" s="10">
        <f t="shared" si="4"/>
        <v>14.819530756438507</v>
      </c>
      <c r="F16" s="10">
        <f t="shared" si="4"/>
        <v>14.808045777625161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 t="e">
        <f>SUM(J6:J15)</f>
        <v>#DIV/0!</v>
      </c>
      <c r="K16" s="10" t="e">
        <f>SUM(K6:K15)</f>
        <v>#DIV/0!</v>
      </c>
      <c r="L16" s="10">
        <f>SUM(L6:L15)</f>
        <v>0</v>
      </c>
      <c r="M16" s="11">
        <f t="shared" si="4"/>
        <v>14.808045777625161</v>
      </c>
    </row>
    <row r="17" spans="2:16" ht="15" customHeight="1" x14ac:dyDescent="0.25">
      <c r="B17" s="29"/>
      <c r="O17" s="50" t="s">
        <v>37</v>
      </c>
      <c r="P17" s="47">
        <f>P6+P12</f>
        <v>20257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İşletmecisi",'[7]TABLO-1'!K4:K32873,"=Bildirimli",'[7]TABLO-1'!I4:I32873,"=Uzun",'[7]TABLO-1'!D4:D32873,"=MURATLI")/P6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İşletmecisi",'[7]TABLO-1'!K4:K32873,"=Bildirimli",'[7]TABLO-1'!I4:I32873,"=Uzun",'[7]TABLO-1'!D4:D32873,"=MURATLI")/P12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İşletmecisi",'[7]TABLO-1'!K4:K32873,"=Bildirimli",'[7]TABLO-1'!I4:I32873,"=Uzun",'[7]TABLO-1'!D4:D32873,"=MURATLI")/P7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İşletmecisi",'[7]TABLO-1'!K4:K32873,"=Bildirimli",'[7]TABLO-1'!I4:I32873,"=Uzun",'[7]TABLO-1'!D4:D32873,"=MURATLI")/P13</f>
        <v>#DIV/0!</v>
      </c>
      <c r="I21" s="10" t="str">
        <f>IFERROR((((G21*$P$7)+(H21*$P$13))/$P$20),"0,00")</f>
        <v>0,00</v>
      </c>
      <c r="J21" s="10" t="e">
        <f>SUMIFS('[7]TABLO-1'!Y4:Y32873,'[7]TABLO-1'!H4:H32873,"=İletim",'[7]TABLO-1'!J4:J32873,"=Şebeke İşletmecisi",'[7]TABLO-1'!K4:K32873,"=Bildirimli",'[7]TABLO-1'!I4:I32873,"=Uzun",'[7]TABLO-1'!D4:D32873,"=MURATLI")/P8</f>
        <v>#DIV/0!</v>
      </c>
      <c r="K21" s="10" t="e">
        <f>SUMIFS('[7]TABLO-1'!Z4:Z32873,'[7]TABLO-1'!H4:H32873,"=İletim",'[7]TABLO-1'!J4:J32873,"=Şebeke İşletmecisi",'[7]TABLO-1'!K4:K32873,"=Bildirimli",'[7]TABLO-1'!I4:I32873,"=Uzun",'[7]TABLO-1'!D4:D32873,"=MURATLI")/P14</f>
        <v>#DIV/0!</v>
      </c>
      <c r="L21" s="10" t="str">
        <f>IFERROR((((J21*$P$8)+(K21*$P$14))/$P$23),"0,00")</f>
        <v>0,00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İşletmecisi",'[7]TABLO-1'!K4:K32873,"=Bildirimli",'[7]TABLO-1'!I4:I32873,"=Uzun",'[7]TABLO-1'!D4:D32873,"=MURATLI")/P6</f>
        <v>16.276285714456545</v>
      </c>
      <c r="E22" s="10">
        <f>SUMIFS('[7]TABLO-1'!V4:V32873,'[7]TABLO-1'!H4:H32873,"=Dağıtım-OG",'[7]TABLO-1'!J4:J32873,"=Şebeke İşletmecisi",'[7]TABLO-1'!K4:K32873,"=Bildirimli",'[7]TABLO-1'!I4:I32873,"=Uzun",'[7]TABLO-1'!D4:D32873,"=MURATLI")/P12</f>
        <v>58.324339376013619</v>
      </c>
      <c r="F22" s="10">
        <f t="shared" ref="F22:F25" si="5">IFERROR((((D22*$P$6)+(E22*$P$12))/$P$17),"0,00")</f>
        <v>57.961086703319118</v>
      </c>
      <c r="G22" s="10" t="e">
        <f>SUMIFS('[7]TABLO-1'!W4:W32873,'[7]TABLO-1'!H4:H32873,"=Dağıtım-OG",'[7]TABLO-1'!J4:J32873,"=Şebeke İşletmecisi",'[7]TABLO-1'!K4:K32873,"=Bildirimli",'[7]TABLO-1'!I4:I32873,"=Uzun",'[7]TABLO-1'!D4:D32873,"=MURATLI")/P7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İşletmecisi",'[7]TABLO-1'!K4:K32873,"=Bildirimli",'[7]TABLO-1'!I4:I32873,"=Uzun",'[7]TABLO-1'!D4:D32873,"=MURATLI")/P13</f>
        <v>#DIV/0!</v>
      </c>
      <c r="I22" s="10" t="str">
        <f t="shared" ref="I22:I25" si="6">IFERROR((((G22*$P$7)+(H22*$P$13))/$P$20),"0,00")</f>
        <v>0,00</v>
      </c>
      <c r="J22" s="10" t="e">
        <f>SUMIFS('[7]TABLO-1'!Y4:Y32873,'[7]TABLO-1'!H4:H32873,"=Dağıtım-OG",'[7]TABLO-1'!J4:J32873,"=Şebeke İşletmecisi",'[7]TABLO-1'!K4:K32873,"=Bildirimli",'[7]TABLO-1'!I4:I32873,"=Uzun",'[7]TABLO-1'!D4:D32873,"=MURATLI")/P8</f>
        <v>#DIV/0!</v>
      </c>
      <c r="K22" s="10" t="e">
        <f>SUMIFS('[7]TABLO-1'!Z4:Z32873,'[7]TABLO-1'!H4:H32873,"=Dağıtım-OG",'[7]TABLO-1'!J4:J32873,"=Şebeke İşletmecisi",'[7]TABLO-1'!K4:K32873,"=Bildirimli",'[7]TABLO-1'!I4:I32873,"=Uzun",'[7]TABLO-1'!D4:D32873,"=MURATLI")/P14</f>
        <v>#DIV/0!</v>
      </c>
      <c r="L22" s="10" t="str">
        <f t="shared" ref="L22:L25" si="7">IFERROR((((J22*$P$8)+(K22*$P$14))/$P$23),"0,00")</f>
        <v>0,00</v>
      </c>
      <c r="M22" s="11">
        <f t="shared" ref="M22:M25" si="8">IFERROR((((F22*$P$17)+(I22*$P$20)+(L22*$P$23))/$P$26),"0,00")</f>
        <v>57.961086703319118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SUMIFS('[7]TABLO-1'!U4:U32873,'[7]TABLO-1'!H4:H32873,"=Dağıtım-OG",'[7]TABLO-1'!J4:J32873,"=Güvenlik",'[7]TABLO-1'!K4:K32873,"=Bildirimli",'[7]TABLO-1'!I4:I32873,"=Uzun",'[7]TABLO-1'!D4:D32873,"=MURATLI")/P6</f>
        <v>0</v>
      </c>
      <c r="E23" s="10">
        <f>SUMIFS('[7]TABLO-1'!V4:V32873,'[7]TABLO-1'!H4:H32873,"=Dağıtım-OG",'[7]TABLO-1'!J4:J32873,"=Güvenlik",'[7]TABLO-1'!K4:K32873,"=Bildirimli",'[7]TABLO-1'!I4:I32873,"=Uzun",'[7]TABLO-1'!D4:D32873,"=MURATLI")/P12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SUMIFS('[7]TABLO-1'!W4:W32873,'[7]TABLO-1'!H4:H32873,"=Dağıtım-OG",'[7]TABLO-1'!J4:J32873,"=Güvenlik",'[7]TABLO-1'!K4:K32873,"=Bildirimli",'[7]TABLO-1'!I4:I32873,"=Uzun",'[7]TABLO-1'!D4:D32873,"=MURATLI")/P7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SUMIFS('[7]TABLO-1'!X4:X32873,'[7]TABLO-1'!H4:H32873,"=Dağıtım-OG",'[7]TABLO-1'!J4:J32873,"=Güvenlik",'[7]TABLO-1'!K4:K32873,"=Bildirimli",'[7]TABLO-1'!I4:I32873,"=Uzun",'[7]TABLO-1'!D4:D32873,"=MURATLI")/P13</f>
        <v>#DIV/0!</v>
      </c>
      <c r="I23" s="10" t="str">
        <f t="shared" si="6"/>
        <v>0,00</v>
      </c>
      <c r="J23" s="10" t="e">
        <f>SUMIFS('[7]TABLO-1'!Y4:Y32873,'[7]TABLO-1'!H4:H32873,"=Dağıtım-OG",'[7]TABLO-1'!J4:J32873,"=Güvenlik",'[7]TABLO-1'!K4:K32873,"=Bildirimli",'[7]TABLO-1'!I4:I32873,"=Uzun",'[7]TABLO-1'!D4:D32873,"=MURATLI")/P8</f>
        <v>#DIV/0!</v>
      </c>
      <c r="K23" s="10" t="e">
        <f>SUMIFS('[7]TABLO-1'!Z4:Z32873,'[7]TABLO-1'!H4:H32873,"=Dağıtım-OG",'[7]TABLO-1'!J4:J32873,"=Güvenlik",'[7]TABLO-1'!K4:K32873,"=Bildirimli",'[7]TABLO-1'!I4:I32873,"=Uzun",'[7]TABLO-1'!D4:D32873,"=MURATLI")/P14</f>
        <v>#DIV/0!</v>
      </c>
      <c r="L23" s="10" t="str">
        <f t="shared" si="7"/>
        <v>0,00</v>
      </c>
      <c r="M23" s="11">
        <f t="shared" si="8"/>
        <v>0</v>
      </c>
      <c r="O23" s="43" t="s">
        <v>39</v>
      </c>
      <c r="P23" s="47">
        <f>P8+P14</f>
        <v>0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İşletmecisi",'[7]TABLO-1'!K4:K32873,"=Bildirimli",'[7]TABLO-1'!I4:I32873,"=Uzun",'[7]TABLO-1'!D4:D32873,"=MURATLI")/P6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İşletmecisi",'[7]TABLO-1'!K4:K32873,"=Bildirimli",'[7]TABLO-1'!I4:I32873,"=Uzun",'[7]TABLO-1'!D4:D32873,"=MURATLI")/P12</f>
        <v>0.46597201473621247</v>
      </c>
      <c r="F24" s="10">
        <f t="shared" si="5"/>
        <v>0.461946487630578</v>
      </c>
      <c r="G24" s="12" t="e">
        <f>SUMIFS('[7]TABLO-1'!W4:W32873,'[7]TABLO-1'!H4:H32873,"=Dağıtım-AG",'[7]TABLO-1'!J4:J32873,"=Şebeke İşletmecisi",'[7]TABLO-1'!K4:K32873,"=Bildirimli",'[7]TABLO-1'!I4:I32873,"=Uzun",'[7]TABLO-1'!D4:D32873,"=MURATLI")/P7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İşletmecisi",'[7]TABLO-1'!K4:K32873,"=Bildirimli",'[7]TABLO-1'!I4:I32873,"=Uzun",'[7]TABLO-1'!D4:D32873,"=MURATLI")/P13</f>
        <v>#DIV/0!</v>
      </c>
      <c r="I24" s="10" t="str">
        <f t="shared" si="6"/>
        <v>0,00</v>
      </c>
      <c r="J24" s="12" t="e">
        <f>SUMIFS('[7]TABLO-1'!Y4:Y32873,'[7]TABLO-1'!H4:H32873,"=Dağıtım-AG",'[7]TABLO-1'!J4:J32873,"=Şebeke İşletmecisi",'[7]TABLO-1'!K4:K32873,"=Bildirimli",'[7]TABLO-1'!I4:I32873,"=Uzun",'[7]TABLO-1'!D4:D32873,"=MURATLI")/P8</f>
        <v>#DIV/0!</v>
      </c>
      <c r="K24" s="10" t="e">
        <f>SUMIFS('[7]TABLO-1'!Z4:Z32873,'[7]TABLO-1'!H4:H32873,"=Dağıtım-AG",'[7]TABLO-1'!J4:J32873,"=Şebeke İşletmecisi",'[7]TABLO-1'!K4:K32873,"=Bildirimli",'[7]TABLO-1'!I4:I32873,"=Uzun",'[7]TABLO-1'!D4:D32873,"=MURATLI")/P14</f>
        <v>#DIV/0!</v>
      </c>
      <c r="L24" s="10" t="str">
        <f t="shared" si="7"/>
        <v>0,00</v>
      </c>
      <c r="M24" s="11">
        <f t="shared" si="8"/>
        <v>0.461946487630578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SUMIFS('[7]TABLO-1'!U4:U32873,'[7]TABLO-1'!H4:H32873,"=Dağıtım-AG",'[7]TABLO-1'!J4:J32873,"=Güvenlik",'[7]TABLO-1'!K4:K32873,"=Bildirimli",'[7]TABLO-1'!I4:I32873,"=Uzun",'[7]TABLO-1'!D4:D32873,"=MURATLI")/P6</f>
        <v>0</v>
      </c>
      <c r="E25" s="10">
        <f>SUMIFS('[7]TABLO-1'!V4:V32873,'[7]TABLO-1'!H4:H32873,"=Dağıtım-AG",'[7]TABLO-1'!J4:J32873,"=Güvenlik",'[7]TABLO-1'!K4:K32873,"=Bildirimli",'[7]TABLO-1'!I4:I32873,"=Uzun",'[7]TABLO-1'!D4:D32873,"=MURATLI")/P12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SUMIFS('[7]TABLO-1'!W4:W32873,'[7]TABLO-1'!H4:H32873,"=Dağıtım-AG",'[7]TABLO-1'!J4:J32873,"=Güvenlik",'[7]TABLO-1'!K4:K32873,"=Bildirimli",'[7]TABLO-1'!I4:I32873,"=Uzun",'[7]TABLO-1'!D4:D32873,"=MURATLI")/P7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SUMIFS('[7]TABLO-1'!X4:X32873,'[7]TABLO-1'!H4:H32873,"=Dağıtım-AG",'[7]TABLO-1'!J4:J32873,"=Güvenlik",'[7]TABLO-1'!K4:K32873,"=Bildirimli",'[7]TABLO-1'!I4:I32873,"=Uzun",'[7]TABLO-1'!D4:D32873,"=MURATLI")/P13</f>
        <v>#DIV/0!</v>
      </c>
      <c r="I25" s="10" t="str">
        <f t="shared" si="6"/>
        <v>0,00</v>
      </c>
      <c r="J25" s="12" t="e">
        <f>SUMIFS('[7]TABLO-1'!Y4:Y32873,'[7]TABLO-1'!H4:H32873,"=Dağıtım-AG",'[7]TABLO-1'!J4:J32873,"=Güvenlik",'[7]TABLO-1'!K4:K32873,"=Bildirimli",'[7]TABLO-1'!I4:I32873,"=Uzun",'[7]TABLO-1'!D4:D32873,"=MURATLI")/P8</f>
        <v>#DIV/0!</v>
      </c>
      <c r="K25" s="10" t="e">
        <f>SUMIFS('[7]TABLO-1'!Z4:Z32873,'[7]TABLO-1'!H4:H32873,"=Dağıtım-AG",'[7]TABLO-1'!J4:J32873,"=Güvenlik",'[7]TABLO-1'!K4:K32873,"=Bildirimli",'[7]TABLO-1'!I4:I32873,"=Uzun",'[7]TABLO-1'!D4:D32873,"=MURATLI")/P14</f>
        <v>#DIV/0!</v>
      </c>
      <c r="L25" s="10" t="str">
        <f t="shared" si="7"/>
        <v>0,00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16.276285714456545</v>
      </c>
      <c r="E26" s="10">
        <f t="shared" ref="E26:M26" si="9">SUM(E21:E25)</f>
        <v>58.790311390749828</v>
      </c>
      <c r="F26" s="10">
        <f t="shared" si="9"/>
        <v>58.423033190949695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 t="e">
        <f t="shared" si="9"/>
        <v>#DIV/0!</v>
      </c>
      <c r="K26" s="10" t="e">
        <f t="shared" si="9"/>
        <v>#DIV/0!</v>
      </c>
      <c r="L26" s="10">
        <f t="shared" si="9"/>
        <v>0</v>
      </c>
      <c r="M26" s="11">
        <f t="shared" si="9"/>
        <v>58.423033190949695</v>
      </c>
      <c r="O26" s="43" t="s">
        <v>22</v>
      </c>
      <c r="P26" s="44">
        <f>P20+P17+P23</f>
        <v>20257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İşletmecisi",'[7]TABLO-1'!K4:K32873,"=Bildirimsiz",'[7]TABLO-1'!I4:I32873,"=Uzun",'[7]TABLO-1'!D4:D32873,"=MURATLI")/P6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İşletmecisi",'[7]TABLO-1'!K4:K32873,"=Bildirimsiz",'[7]TABLO-1'!I4:I32873,"=Uzun",'[7]TABLO-1'!D4:D32873,"=MURATLI")/P12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İşletmecisi",'[7]TABLO-1'!K4:K32873,"=Bildirimsiz",'[7]TABLO-1'!I4:I32873,"=Uzun",'[7]TABLO-1'!D4:D32873,"=MURATLI")/P7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İşletmecisi",'[7]TABLO-1'!K4:K32873,"=Bildirimsiz",'[7]TABLO-1'!I4:I32873,"=Uzun",'[7]TABLO-1'!D4:D32873,"=MURATLI")/P13</f>
        <v>#DIV/0!</v>
      </c>
      <c r="I31" s="10" t="str">
        <f>IFERROR((((G31*$P$7)+(H31*$P$13))/$P$20),"0,00")</f>
        <v>0,00</v>
      </c>
      <c r="J31" s="10" t="e">
        <f>SUMIFS('[7]TABLO-1'!S4:S32873,'[7]TABLO-1'!H4:H32873,"=İletim",'[7]TABLO-1'!J4:J32873,"=Şebeke İşletmecisi",'[7]TABLO-1'!K4:K32873,"=Bildirimsiz",'[7]TABLO-1'!I4:I32873,"=Uzun",'[7]TABLO-1'!D4:D32873,"=MURATLI")/P8</f>
        <v>#DIV/0!</v>
      </c>
      <c r="K31" s="10" t="e">
        <f>SUMIFS('[7]TABLO-1'!T4:T32873,'[7]TABLO-1'!H4:H32873,"=İletim",'[7]TABLO-1'!J4:J32873,"=Şebeke İşletmecisi",'[7]TABLO-1'!K4:K32873,"=bildirimsiz",'[7]TABLO-1'!I4:I32873,"=Uzun",'[7]TABLO-1'!D4:D32873,"=MURATLI")/P14</f>
        <v>#DIV/0!</v>
      </c>
      <c r="L31" s="10" t="str">
        <f>IFERROR((((J31*$P$8)+(K31*$P$14))/$P$23),"0,00")</f>
        <v>0,00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Sebep",'[7]TABLO-1'!K4:K32873,"=Bildirimsiz",'[7]TABLO-1'!I4:I32873,"=Uzun",'[7]TABLO-1'!D4:D32873,"=MURATLI")/P6</f>
        <v>0</v>
      </c>
      <c r="E32" s="10">
        <f>SUMIFS('[7]TABLO-1'!P4:P32873,'[7]TABLO-1'!H4:H32873,"=İletim",'[7]TABLO-1'!J4:J32873,"=Mücbir Sebep",'[7]TABLO-1'!K4:K32873,"=Bildirimsiz",'[7]TABLO-1'!I4:I32873,"=Uzun",'[7]TABLO-1'!D4:D32873,"=MURATLI")/P12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Sebep",'[7]TABLO-1'!K4:K32873,"=Bildirimsiz",'[7]TABLO-1'!I4:I32873,"=Uzun",'[7]TABLO-1'!D4:D32873,"=MURATLI")/P7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Sebep",'[7]TABLO-1'!K4:K32873,"=Bildirimsiz",'[7]TABLO-1'!I4:I32873,"=Uzun",'[7]TABLO-1'!D4:D32873,"=MURATLI")/P13</f>
        <v>#DIV/0!</v>
      </c>
      <c r="I32" s="10" t="str">
        <f t="shared" ref="I32:I40" si="11">IFERROR((((G32*$P$7)+(H32*$P$13))/$P$20),"0,00")</f>
        <v>0,00</v>
      </c>
      <c r="J32" s="10" t="e">
        <f>SUMIFS('[7]TABLO-1'!S4:S32873,'[7]TABLO-1'!H4:H32873,"=İletim",'[7]TABLO-1'!J4:J32873,"=Mücbir Sebep",'[7]TABLO-1'!K4:K32873,"=Bildirimsiz",'[7]TABLO-1'!I4:I32873,"=Uzun",'[7]TABLO-1'!D4:D32873,"=MURATLI")/P8</f>
        <v>#DIV/0!</v>
      </c>
      <c r="K32" s="10" t="e">
        <f>SUMIFS('[7]TABLO-1'!T4:T32873,'[7]TABLO-1'!H4:H32873,"=İletim",'[7]TABLO-1'!J4:J32873,"=Mücbir Sebep",'[7]TABLO-1'!K4:K32873,"=bildirimsiz",'[7]TABLO-1'!I4:I32873,"=Uzun",'[7]TABLO-1'!D4:D32873,"=MURATLI")/P14</f>
        <v>#DIV/0!</v>
      </c>
      <c r="L32" s="10" t="str">
        <f t="shared" ref="L32:L40" si="12">IFERROR((((J32*$P$8)+(K32*$P$14))/$P$23),"0,00")</f>
        <v>0,00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İşletmecisi",'[7]TABLO-1'!K4:K32873,"=Bildirimsiz",'[7]TABLO-1'!I4:I32873,"=Uzun",'[7]TABLO-1'!D4:D32873,"=MURATLI")/P6</f>
        <v>0.45714285714285713</v>
      </c>
      <c r="E33" s="10">
        <f>SUMIFS('[7]TABLO-1'!P4:P32873,'[7]TABLO-1'!H4:H32873,"=Dağıtım-OG",'[7]TABLO-1'!J4:J32873,"=Şebeke İşletmecisi",'[7]TABLO-1'!K4:K32873,"=Bildirimsiz",'[7]TABLO-1'!I4:I32873,"=Uzun",'[7]TABLO-1'!D4:D32873,"=MURATLI")/P12</f>
        <v>0.47530126481426155</v>
      </c>
      <c r="F33" s="10">
        <f t="shared" si="10"/>
        <v>0.47514439453028584</v>
      </c>
      <c r="G33" s="10" t="e">
        <f>SUMIFS('[7]TABLO-1'!Q4:Q32873,'[7]TABLO-1'!H4:H32873,"=Dağıtım-OG",'[7]TABLO-1'!J4:J32873,"=Şebeke İşletmecisi",'[7]TABLO-1'!K4:K32873,"=Bildirimsiz",'[7]TABLO-1'!I4:I32873,"=Uzun",'[7]TABLO-1'!D4:D32873,"=MURATLI")/P7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İşletmecisi",'[7]TABLO-1'!K4:K32873,"=Bildirimsiz",'[7]TABLO-1'!I4:I32873,"=Uzun",'[7]TABLO-1'!D4:D32873,"=MURATLI")/P13</f>
        <v>#DIV/0!</v>
      </c>
      <c r="I33" s="10" t="str">
        <f t="shared" si="11"/>
        <v>0,00</v>
      </c>
      <c r="J33" s="10" t="e">
        <f>SUMIFS('[7]TABLO-1'!S4:S32873,'[7]TABLO-1'!H4:H32873,"=Dağıtım-OG",'[7]TABLO-1'!J4:J32873,"=Şebeke İşletmecisi",'[7]TABLO-1'!K4:K32873,"=Bildirimsiz",'[7]TABLO-1'!I4:I32873,"=Uzun",'[7]TABLO-1'!D4:D32873,"=MURATLI")/P8</f>
        <v>#DIV/0!</v>
      </c>
      <c r="K33" s="10" t="e">
        <f>SUMIFS('[7]TABLO-1'!T4:T32873,'[7]TABLO-1'!H4:H32873,"=Dağıtım-OG",'[7]TABLO-1'!J4:J32873,"=Şebeke İşletmecisi",'[7]TABLO-1'!K4:K32873,"=bildirimsiz",'[7]TABLO-1'!I4:I32873,"=Uzun",'[7]TABLO-1'!D4:D32873,"=MURATLI")/P14</f>
        <v>#DIV/0!</v>
      </c>
      <c r="L33" s="10" t="str">
        <f t="shared" si="12"/>
        <v>0,00</v>
      </c>
      <c r="M33" s="11">
        <f t="shared" si="13"/>
        <v>0.47514439453028584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SUMIFS('[7]TABLO-1'!O4:O32873,'[7]TABLO-1'!H4:H32873,"=Dağıtım-OG",'[7]TABLO-1'!J4:J32873,"=Dışsal",'[7]TABLO-1'!K4:K32873,"=Bildirimsiz",'[7]TABLO-1'!I4:I32873,"=Uzun",'[7]TABLO-1'!D4:D32873,"=MURATLI")/P6</f>
        <v>0</v>
      </c>
      <c r="E34" s="10">
        <f>SUMIFS('[7]TABLO-1'!P4:P32873,'[7]TABLO-1'!H4:H32873,"=Dağıtım-OG",'[7]TABLO-1'!J4:J32873,"=Dışsal",'[7]TABLO-1'!K4:K32873,"=Bildirimsiz",'[7]TABLO-1'!I4:I32873,"=Uzun",'[7]TABLO-1'!D4:D32873,"=MURATLI")/P12</f>
        <v>1.7328951299671349E-2</v>
      </c>
      <c r="F34" s="10">
        <f t="shared" si="10"/>
        <v>1.7179246680159948E-2</v>
      </c>
      <c r="G34" s="10" t="e">
        <f>SUMIFS('[7]TABLO-1'!Q4:Q32873,'[7]TABLO-1'!H4:H32873,"=Dağıtım-OG",'[7]TABLO-1'!J4:J32873,"=Dışsal",'[7]TABLO-1'!K4:K32873,"=Bildirimsiz",'[7]TABLO-1'!I4:I32873,"=Uzun",'[7]TABLO-1'!D4:D32873,"=MURATLI")/P7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SUMIFS('[7]TABLO-1'!R4:R32873,'[7]TABLO-1'!H4:H32873,"=Dağıtım-OG",'[7]TABLO-1'!J4:J32873,"=Dışsal",'[7]TABLO-1'!K4:K32873,"=Bildirimsiz",'[7]TABLO-1'!I4:I32873,"=Uzun",'[7]TABLO-1'!D4:D32873,"=MURATLI")/P13</f>
        <v>#DIV/0!</v>
      </c>
      <c r="I34" s="10" t="str">
        <f t="shared" si="11"/>
        <v>0,00</v>
      </c>
      <c r="J34" s="10" t="e">
        <f>SUMIFS('[7]TABLO-1'!S4:S32873,'[7]TABLO-1'!H4:H32873,"=Dağıtım-OG",'[7]TABLO-1'!J4:J32873,"=Dışsal",'[7]TABLO-1'!K4:K32873,"=Bildirimsiz",'[7]TABLO-1'!I4:I32873,"=Uzun",'[7]TABLO-1'!D4:D32873,"=MURATLI")/P8</f>
        <v>#DIV/0!</v>
      </c>
      <c r="K34" s="10" t="e">
        <f>SUMIFS('[7]TABLO-1'!T4:T32873,'[7]TABLO-1'!H4:H32873,"=Dağıtım-OG",'[7]TABLO-1'!J4:J32873,"=Dışsal",'[7]TABLO-1'!K4:K32873,"=bildirimsiz",'[7]TABLO-1'!I4:I32873,"=Uzun",'[7]TABLO-1'!D4:D32873,"=MURATLI")/P14</f>
        <v>#DIV/0!</v>
      </c>
      <c r="L34" s="10" t="str">
        <f t="shared" si="12"/>
        <v>0,00</v>
      </c>
      <c r="M34" s="11">
        <f t="shared" si="13"/>
        <v>1.7179246680159948E-2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Sebep",'[7]TABLO-1'!K4:K32873,"=Bildirimsiz",'[7]TABLO-1'!I4:I32873,"=Uzun",'[7]TABLO-1'!D4:D32873,"=MURATLI")/P6</f>
        <v>0</v>
      </c>
      <c r="E35" s="10">
        <f>SUMIFS('[7]TABLO-1'!P4:P32873,'[7]TABLO-1'!H4:H32873,"=Dağıtım-OG",'[7]TABLO-1'!J4:J32873,"=Mücbir Sebep",'[7]TABLO-1'!K4:K32873,"=Bildirimsiz",'[7]TABLO-1'!I4:I32873,"=Uzun",'[7]TABLO-1'!D4:D32873,"=MURATLI")/P12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Sebep",'[7]TABLO-1'!K4:K32873,"=Bildirimsiz",'[7]TABLO-1'!I4:I32873,"=Uzun",'[7]TABLO-1'!D4:D32873,"=MURATLI")/P7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Sebep",'[7]TABLO-1'!K4:K32873,"=Bildirimsiz",'[7]TABLO-1'!I4:I32873,"=Uzun",'[7]TABLO-1'!D4:D32873,"=MURATLI")/P13</f>
        <v>#DIV/0!</v>
      </c>
      <c r="I35" s="10" t="str">
        <f t="shared" si="11"/>
        <v>0,00</v>
      </c>
      <c r="J35" s="10" t="e">
        <f>SUMIFS('[7]TABLO-1'!S4:S32873,'[7]TABLO-1'!H4:H32873,"=Dağıtım-OG",'[7]TABLO-1'!J4:J32873,"=Mücbir Sebep",'[7]TABLO-1'!K4:K32873,"=Bildirimsiz",'[7]TABLO-1'!I4:I32873,"=Uzun",'[7]TABLO-1'!D4:D32873,"=MURATLI")/P8</f>
        <v>#DIV/0!</v>
      </c>
      <c r="K35" s="10" t="e">
        <f>SUMIFS('[7]TABLO-1'!T4:T32873,'[7]TABLO-1'!H4:H32873,"=Dağıtım-OG",'[7]TABLO-1'!J4:J32873,"=Mücbir Sebep",'[7]TABLO-1'!K4:K32873,"=bildirimsiz",'[7]TABLO-1'!I4:I32873,"=Uzun",'[7]TABLO-1'!D4:D32873,"=MURATLI")/P14</f>
        <v>#DIV/0!</v>
      </c>
      <c r="L35" s="10" t="str">
        <f t="shared" si="12"/>
        <v>0,00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SUMIFS('[7]TABLO-1'!O4:O32873,'[7]TABLO-1'!H4:H32873,"=Dağıtım-OG",'[7]TABLO-1'!J4:J32873,"=Güvenlik",'[7]TABLO-1'!K4:K32873,"=Bildirimsiz",'[7]TABLO-1'!I4:I32873,"=Uzun",'[7]TABLO-1'!D4:D32873,"=MURATLI")/P6</f>
        <v>0</v>
      </c>
      <c r="E36" s="10">
        <f>SUMIFS('[7]TABLO-1'!P4:P32873,'[7]TABLO-1'!H4:H32873,"=Dağıtım-OG",'[7]TABLO-1'!J4:J32873,"=Güvenlik",'[7]TABLO-1'!K4:K32873,"=Bildirimsiz",'[7]TABLO-1'!I4:I32873,"=Uzun",'[7]TABLO-1'!D4:D32873,"=MURATLI")/P12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SUMIFS('[7]TABLO-1'!Q4:Q32873,'[7]TABLO-1'!H4:H32873,"=Dağıtım-OG",'[7]TABLO-1'!J4:J32873,"=Güvenlik",'[7]TABLO-1'!K4:K32873,"=Bildirimsiz",'[7]TABLO-1'!I4:I32873,"=Uzun",'[7]TABLO-1'!D4:D32873,"=MURATLI")/P7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SUMIFS('[7]TABLO-1'!R4:R32873,'[7]TABLO-1'!H4:H32873,"=Dağıtım-OG",'[7]TABLO-1'!J4:J32873,"=Güvenlik",'[7]TABLO-1'!K4:K32873,"=Bildirimsiz",'[7]TABLO-1'!I4:I32873,"=Uzun",'[7]TABLO-1'!D4:D32873,"=MURATLI")/P13</f>
        <v>#DIV/0!</v>
      </c>
      <c r="I36" s="10" t="str">
        <f t="shared" si="11"/>
        <v>0,00</v>
      </c>
      <c r="J36" s="10" t="e">
        <f>SUMIFS('[7]TABLO-1'!S4:S32873,'[7]TABLO-1'!H4:H32873,"=Dağıtım-OG",'[7]TABLO-1'!J4:J32873,"=Güvenlik",'[7]TABLO-1'!K4:K32873,"=Bildirimsiz",'[7]TABLO-1'!I4:I32873,"=Uzun",'[7]TABLO-1'!D4:D32873,"=MURATLI")/P8</f>
        <v>#DIV/0!</v>
      </c>
      <c r="K36" s="10" t="e">
        <f>SUMIFS('[7]TABLO-1'!T4:T32873,'[7]TABLO-1'!H4:H32873,"=Dağıtım-OG",'[7]TABLO-1'!J4:J32873,"=Güvenlik",'[7]TABLO-1'!K4:K32873,"=bildirimsiz",'[7]TABLO-1'!I4:I32873,"=Uzun",'[7]TABLO-1'!D4:D32873,"=MURATLI")/P14</f>
        <v>#DIV/0!</v>
      </c>
      <c r="L36" s="10" t="str">
        <f t="shared" si="12"/>
        <v>0,00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İşletmecisi",'[7]TABLO-1'!K4:K32873,"=Bildirimsiz",'[7]TABLO-1'!I4:I32873,"=Uzun",'[7]TABLO-1'!D4:D32873,"=MURATLI")/P6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İşletmecisi",'[7]TABLO-1'!K4:K32873,"=Bildirimsiz",'[7]TABLO-1'!I4:I32873,"=Uzun",'[7]TABLO-1'!D4:D32873,"=MURATLI")/P12</f>
        <v>4.6160740962055573E-2</v>
      </c>
      <c r="F37" s="10">
        <f t="shared" si="10"/>
        <v>4.5761958829046746E-2</v>
      </c>
      <c r="G37" s="12" t="e">
        <f>SUMIFS('[7]TABLO-1'!Q4:Q32873,'[7]TABLO-1'!H4:H32873,"=Dağıtım-AG",'[7]TABLO-1'!J4:J32873,"=Şebeke İşletmecisi",'[7]TABLO-1'!K4:K32873,"=Bildirimsiz",'[7]TABLO-1'!I4:I32873,"=Uzun",'[7]TABLO-1'!D4:D32873,"=MURATLI")/P7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İşletmecisi",'[7]TABLO-1'!K4:K32873,"=Bildirimsiz",'[7]TABLO-1'!I4:I32873,"=Uzun",'[7]TABLO-1'!D4:D32873,"=MURATLI")/P13</f>
        <v>#DIV/0!</v>
      </c>
      <c r="I37" s="10" t="str">
        <f t="shared" si="11"/>
        <v>0,00</v>
      </c>
      <c r="J37" s="12" t="e">
        <f>SUMIFS('[7]TABLO-1'!S4:S32873,'[7]TABLO-1'!H4:H32873,"=Dağıtım-AG",'[7]TABLO-1'!J4:J32873,"=Şebeke İşletmecisi",'[7]TABLO-1'!K4:K32873,"=Bildirimsiz",'[7]TABLO-1'!I4:I32873,"=Uzun",'[7]TABLO-1'!D4:D32873,"=MURATLI")/P8</f>
        <v>#DIV/0!</v>
      </c>
      <c r="K37" s="10" t="e">
        <f>SUMIFS('[7]TABLO-1'!T4:T32873,'[7]TABLO-1'!H4:H32873,"=Dağıtım-AG",'[7]TABLO-1'!J4:J32873,"=Şebeke İşletmecisi",'[7]TABLO-1'!K4:K32873,"=bildirimsiz",'[7]TABLO-1'!I4:I32873,"=Uzun",'[7]TABLO-1'!D4:D32873,"=MURATLI")/P14</f>
        <v>#DIV/0!</v>
      </c>
      <c r="L37" s="10" t="str">
        <f t="shared" si="12"/>
        <v>0,00</v>
      </c>
      <c r="M37" s="11">
        <f t="shared" si="13"/>
        <v>4.5761958829046746E-2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SUMIFS('[7]TABLO-1'!O4:O32873,'[7]TABLO-1'!H4:H32873,"=Dağıtım-AG",'[7]TABLO-1'!J4:J32873,"=Dışsal",'[7]TABLO-1'!K4:K32873,"=Bildirimsiz",'[7]TABLO-1'!I4:I32873,"=Uzun",'[7]TABLO-1'!D4:D32873,"=MURATLI")/P6</f>
        <v>0</v>
      </c>
      <c r="E38" s="10">
        <f>SUMIFS('[7]TABLO-1'!P4:P32873,'[7]TABLO-1'!H4:H32873,"=Dağıtım-AG",'[7]TABLO-1'!J4:J32873,"=Dışsal",'[7]TABLO-1'!K4:K32873,"=Bildirimsiz",'[7]TABLO-1'!I4:I32873,"=Uzun",'[7]TABLO-1'!D4:D32873,"=MURATLI")/P12</f>
        <v>0</v>
      </c>
      <c r="F38" s="10">
        <f t="shared" si="10"/>
        <v>0</v>
      </c>
      <c r="G38" s="12" t="e">
        <f>SUMIFS('[7]TABLO-1'!Q4:Q32873,'[7]TABLO-1'!H4:H32873,"=Dağıtım-AG",'[7]TABLO-1'!J4:J32873,"=Dışsal",'[7]TABLO-1'!K4:K32873,"=Bildirimsiz",'[7]TABLO-1'!I4:I32873,"=Uzun",'[7]TABLO-1'!D4:D32873,"=MURATLI")/P7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SUMIFS('[7]TABLO-1'!R4:R32873,'[7]TABLO-1'!H4:H32873,"=Dağıtım-AG",'[7]TABLO-1'!J4:J32873,"=Dışsal",'[7]TABLO-1'!K4:K32873,"=Bildirimsiz",'[7]TABLO-1'!I4:I32873,"=Uzun",'[7]TABLO-1'!D4:D32873,"=MURATLI")/P13</f>
        <v>#DIV/0!</v>
      </c>
      <c r="I38" s="10" t="str">
        <f t="shared" si="11"/>
        <v>0,00</v>
      </c>
      <c r="J38" s="12" t="e">
        <f>SUMIFS('[7]TABLO-1'!S4:S32873,'[7]TABLO-1'!H4:H32873,"=Dağıtım-AG",'[7]TABLO-1'!J4:J32873,"=Dışsal",'[7]TABLO-1'!K4:K32873,"=Bildirimsiz",'[7]TABLO-1'!I4:I32873,"=Uzun",'[7]TABLO-1'!D4:D32873,"=MURATLI")/P8</f>
        <v>#DIV/0!</v>
      </c>
      <c r="K38" s="10" t="e">
        <f>SUMIFS('[7]TABLO-1'!T4:T32873,'[7]TABLO-1'!H4:H32873,"=Dağıtım-AG",'[7]TABLO-1'!J4:J32873,"=Dışsal",'[7]TABLO-1'!K4:K32873,"=bildirimsiz",'[7]TABLO-1'!I4:I32873,"=Uzun",'[7]TABLO-1'!D4:D32873,"=MURATLI")/P14</f>
        <v>#DIV/0!</v>
      </c>
      <c r="L38" s="10" t="str">
        <f t="shared" si="12"/>
        <v>0,00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Sebep",'[7]TABLO-1'!K4:K32873,"=Bildirimsiz",'[7]TABLO-1'!I4:I32873,"=Uzun",'[7]TABLO-1'!D4:D32873,"=MURATLI")/P6</f>
        <v>0</v>
      </c>
      <c r="E39" s="10">
        <f>SUMIFS('[7]TABLO-1'!P4:P32873,'[7]TABLO-1'!H4:H32873,"=Dağıtım-AG",'[7]TABLO-1'!J4:J32873,"=Mücbir Sebep",'[7]TABLO-1'!K4:K32873,"=Bildirimsiz",'[7]TABLO-1'!I4:I32873,"=Uzun",'[7]TABLO-1'!D4:D32873,"=MURATLI")/P12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Sebep",'[7]TABLO-1'!K4:K32873,"=Bildirimsiz",'[7]TABLO-1'!I4:I32873,"=Uzun",'[7]TABLO-1'!D4:D32873,"=MURATLI")/P7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Sebep",'[7]TABLO-1'!K4:K32873,"=Bildirimsiz",'[7]TABLO-1'!I4:I32873,"=Uzun",'[7]TABLO-1'!D4:D32873,"=MURATLI")/P13</f>
        <v>#DIV/0!</v>
      </c>
      <c r="I39" s="10" t="str">
        <f t="shared" si="11"/>
        <v>0,00</v>
      </c>
      <c r="J39" s="12" t="e">
        <f>SUMIFS('[7]TABLO-1'!S4:S32873,'[7]TABLO-1'!H4:H32873,"=Dağıtım-AG",'[7]TABLO-1'!J4:J32873,"=Mücbir Sebep",'[7]TABLO-1'!K4:K32873,"=Bildirimsiz",'[7]TABLO-1'!I4:I32873,"=Uzun",'[7]TABLO-1'!D4:D32873,"=MURATLI")/P8</f>
        <v>#DIV/0!</v>
      </c>
      <c r="K39" s="10" t="e">
        <f>SUMIFS('[7]TABLO-1'!T4:T32873,'[7]TABLO-1'!H4:H32873,"=Dağıtım-AG",'[7]TABLO-1'!J4:J32873,"=Mücbir Sebep",'[7]TABLO-1'!K4:K32873,"=bildirimsiz",'[7]TABLO-1'!I4:I32873,"=Uzun",'[7]TABLO-1'!D4:D32873,"=MURATLI")/P14</f>
        <v>#DIV/0!</v>
      </c>
      <c r="L39" s="10" t="str">
        <f t="shared" si="12"/>
        <v>0,00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SUMIFS('[7]TABLO-1'!O4:O32873,'[7]TABLO-1'!H4:H32873,"=Dağıtım-AG",'[7]TABLO-1'!J4:J32873,"=Güvenlik",'[7]TABLO-1'!K4:K32873,"=Bildirimsiz",'[7]TABLO-1'!I4:I32873,"=Uzun",'[7]TABLO-1'!D4:D32873,"=MURATLI")/P6</f>
        <v>0</v>
      </c>
      <c r="E40" s="10">
        <f>SUMIFS('[7]TABLO-1'!P4:P32873,'[7]TABLO-1'!H4:H32873,"=Dağıtım-AG",'[7]TABLO-1'!J4:J32873,"=Güvenlik",'[7]TABLO-1'!K4:K32873,"=Bildirimsiz",'[7]TABLO-1'!I4:I32873,"=Uzun",'[7]TABLO-1'!D4:D32873,"=MURATLI")/P12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SUMIFS('[7]TABLO-1'!Q4:Q32873,'[7]TABLO-1'!H4:H32873,"=Dağıtım-AG",'[7]TABLO-1'!J4:J32873,"=Güvenlik",'[7]TABLO-1'!K4:K32873,"=Bildirimsiz",'[7]TABLO-1'!I4:I32873,"=Uzun",'[7]TABLO-1'!D4:D32873,"=MURATLI")/P7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SUMIFS('[7]TABLO-1'!R4:R32873,'[7]TABLO-1'!H4:H32873,"=Dağıtım-AG",'[7]TABLO-1'!J4:J32873,"=Güvenlik",'[7]TABLO-1'!K4:K32873,"=Bildirimsiz",'[7]TABLO-1'!I4:I32873,"=Uzun",'[7]TABLO-1'!D4:D32873,"=MURATLI")/P13</f>
        <v>#DIV/0!</v>
      </c>
      <c r="I40" s="10" t="str">
        <f t="shared" si="11"/>
        <v>0,00</v>
      </c>
      <c r="J40" s="12" t="e">
        <f>SUMIFS('[7]TABLO-1'!S4:S32873,'[7]TABLO-1'!H4:H32873,"=Dağıtım-AG",'[7]TABLO-1'!J4:J32873,"=Güvenlik",'[7]TABLO-1'!K4:K32873,"=Bildirimsiz",'[7]TABLO-1'!I4:I32873,"=Uzun",'[7]TABLO-1'!D4:D32873,"=MURATLI")/P8</f>
        <v>#DIV/0!</v>
      </c>
      <c r="K40" s="10" t="e">
        <f>SUMIFS('[7]TABLO-1'!T4:T32873,'[7]TABLO-1'!H4:H32873,"=Dağıtım-AG",'[7]TABLO-1'!J4:J32873,"=Güvenlik",'[7]TABLO-1'!K4:K32873,"=bildirimsiz",'[7]TABLO-1'!I4:I32873,"=Uzun",'[7]TABLO-1'!D4:D32873,"=MURATLI")/P14</f>
        <v>#DIV/0!</v>
      </c>
      <c r="L40" s="10" t="str">
        <f t="shared" si="12"/>
        <v>0,00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0.45714285714285713</v>
      </c>
      <c r="E41" s="10">
        <f t="shared" ref="E41:M41" si="14">SUM(E31:E40)</f>
        <v>0.53879095707598845</v>
      </c>
      <c r="F41" s="10">
        <f t="shared" si="14"/>
        <v>0.53808560003949257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 t="e">
        <f t="shared" si="14"/>
        <v>#DIV/0!</v>
      </c>
      <c r="K41" s="10" t="e">
        <f t="shared" si="14"/>
        <v>#DIV/0!</v>
      </c>
      <c r="L41" s="10">
        <f t="shared" si="14"/>
        <v>0</v>
      </c>
      <c r="M41" s="10">
        <f t="shared" si="14"/>
        <v>0.53808560003949257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İşletmecisi",'[7]TABLO-1'!K4:K32873,"=Bildirimli",'[7]TABLO-1'!I4:I32873,"=Uzun",'[7]TABLO-1'!D4:D32873,"=MURATLI")/P6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İşletmecisi",'[7]TABLO-1'!K4:K32873,"=Bildirimli",'[7]TABLO-1'!I4:I32873,"=Uzun",'[7]TABLO-1'!D4:D32873,"=MURATLI")/P12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İşletmecisi",'[7]TABLO-1'!K4:K32873,"=Bildirimli",'[7]TABLO-1'!I4:I32873,"=Uzun",'[7]TABLO-1'!D4:D32873,"=MURATLI")/P7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İşletmecisi",'[7]TABLO-1'!K4:K32873,"=Bildirimli",'[7]TABLO-1'!I4:I32873,"=Uzun",'[7]TABLO-1'!D4:D32873,"=MURATLI")/P13</f>
        <v>#DIV/0!</v>
      </c>
      <c r="I46" s="10" t="str">
        <f>IFERROR((((G46*$P$7)+(H46*$P$13))/$P$20),"0,00")</f>
        <v>0,00</v>
      </c>
      <c r="J46" s="10" t="e">
        <f>SUMIFS('[7]TABLO-1'!S4:S32873,'[7]TABLO-1'!H4:H32873,"=İletim",'[7]TABLO-1'!J4:J32873,"=Şebeke İşletmecisi",'[7]TABLO-1'!K4:K32873,"=Bildirimli",'[7]TABLO-1'!I4:I32873,"=Uzun",'[7]TABLO-1'!D4:D32873,"=MURATLI")/P8</f>
        <v>#DIV/0!</v>
      </c>
      <c r="K46" s="10" t="e">
        <f>SUMIFS('[7]TABLO-1'!T4:T32873,'[7]TABLO-1'!H4:H32873,"=İletim",'[7]TABLO-1'!J4:J32873,"=Şebeke İşletmecisi",'[7]TABLO-1'!K4:K32873,"=bildirimli",'[7]TABLO-1'!I4:I32873,"=Uzun",'[7]TABLO-1'!D4:D32873,"=MURATLI")/P14</f>
        <v>#DIV/0!</v>
      </c>
      <c r="L46" s="10" t="str">
        <f>IFERROR((((J46*$P$8)+(K46*$P$14))/$P$23),"0,00")</f>
        <v>0,00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İşletmecisi",'[7]TABLO-1'!K4:K32873,"=Bildirimli",'[7]TABLO-1'!I4:I32873,"=Uzun",'[7]TABLO-1'!D4:D32873,"=MURATLI")/P6</f>
        <v>8.5714285714285715E-2</v>
      </c>
      <c r="E47" s="10">
        <f>SUMIFS('[7]TABLO-1'!P4:P32873,'[7]TABLO-1'!H4:H32873,"=Dağıtım-OG",'[7]TABLO-1'!J4:J32873,"=Şebeke İşletmecisi",'[7]TABLO-1'!K4:K32873,"=Bildirimli",'[7]TABLO-1'!I4:I32873,"=Uzun",'[7]TABLO-1'!D4:D32873,"=MURATLI")/P12</f>
        <v>0.35499452245792251</v>
      </c>
      <c r="F47" s="10">
        <f t="shared" ref="F47:F50" si="15">IFERROR((((D47*$P$6)+(E47*$P$12))/$P$17),"0,00")</f>
        <v>0.35266821345707655</v>
      </c>
      <c r="G47" s="10" t="e">
        <f>SUMIFS('[7]TABLO-1'!Q4:Q32873,'[7]TABLO-1'!H4:H32873,"=Dağıtım-OG",'[7]TABLO-1'!J4:J32873,"=Şebeke İşletmecisi",'[7]TABLO-1'!K4:K32873,"=Bildirimli",'[7]TABLO-1'!I4:I32873,"=Uzun",'[7]TABLO-1'!D4:D32873,"=MURATLI")/P7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İşletmecisi",'[7]TABLO-1'!K4:K32873,"=Bildirimli",'[7]TABLO-1'!I4:I32873,"=Uzun",'[7]TABLO-1'!D4:D32873,"=MURATLI")/P13</f>
        <v>#DIV/0!</v>
      </c>
      <c r="I47" s="10" t="str">
        <f t="shared" ref="I47:I50" si="16">IFERROR((((G47*$P$7)+(H47*$P$13))/$P$20),"0,00")</f>
        <v>0,00</v>
      </c>
      <c r="J47" s="10" t="e">
        <f>SUMIFS('[7]TABLO-1'!S4:S32873,'[7]TABLO-1'!H4:H32873,"=Dağıtım-OG",'[7]TABLO-1'!J4:J32873,"=Şebeke İşletmecisi",'[7]TABLO-1'!K4:K32873,"=Bildirimli",'[7]TABLO-1'!I4:I32873,"=Uzun",'[7]TABLO-1'!D4:D32873,"=MURATLI")/P8</f>
        <v>#DIV/0!</v>
      </c>
      <c r="K47" s="10" t="e">
        <f>SUMIFS('[7]TABLO-1'!T4:T32873,'[7]TABLO-1'!H4:H32873,"=Dağıtım-OG",'[7]TABLO-1'!J4:J32873,"=Şebeke İşletmecisi",'[7]TABLO-1'!K4:K32873,"=bildirimli",'[7]TABLO-1'!I4:I32873,"=Uzun",'[7]TABLO-1'!D4:D32873,"=MURATLI")/P14</f>
        <v>#DIV/0!</v>
      </c>
      <c r="L47" s="10" t="str">
        <f t="shared" ref="L47:L50" si="17">IFERROR((((J47*$P$8)+(K47*$P$14))/$P$23),"0,00")</f>
        <v>0,00</v>
      </c>
      <c r="M47" s="11">
        <f t="shared" ref="M47:M50" si="18">IFERROR((((F47*$P$17)+(I47*$P$20)+(L47*$P$23))/$P$26),"0,00")</f>
        <v>0.35266821345707655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SUMIFS('[7]TABLO-1'!O4:O32873,'[7]TABLO-1'!H4:H32873,"=Dağıtım-OG",'[7]TABLO-1'!J4:J32873,"=Güvenlik",'[7]TABLO-1'!K4:K32873,"=Bildirimli",'[7]TABLO-1'!I4:I32873,"=Uzun",'[7]TABLO-1'!D4:D32873,"=MURATLI")/P6</f>
        <v>0</v>
      </c>
      <c r="E48" s="10">
        <f>SUMIFS('[7]TABLO-1'!P4:P32873,'[7]TABLO-1'!H4:H32873,"=Dağıtım-OG",'[7]TABLO-1'!J4:J32873,"=Güvenlik",'[7]TABLO-1'!K4:K32873,"=Bildirimli",'[7]TABLO-1'!I4:I32873,"=Uzun",'[7]TABLO-1'!D4:D32873,"=MURATLI")/P12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SUMIFS('[7]TABLO-1'!Q4:Q32873,'[7]TABLO-1'!H4:H32873,"=Dağıtım-OG",'[7]TABLO-1'!J4:J32873,"=Güvenlik",'[7]TABLO-1'!K4:K32873,"=Bildirimli",'[7]TABLO-1'!I4:I32873,"=Uzun",'[7]TABLO-1'!D4:D32873,"=MURATLI")/P7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SUMIFS('[7]TABLO-1'!R4:R32873,'[7]TABLO-1'!H4:H32873,"=Dağıtım-OG",'[7]TABLO-1'!J4:J32873,"=Güvenlik",'[7]TABLO-1'!K4:K32873,"=Bildirimli",'[7]TABLO-1'!I4:I32873,"=Uzun",'[7]TABLO-1'!D4:D32873,"=MURATLI")/P13</f>
        <v>#DIV/0!</v>
      </c>
      <c r="I48" s="10" t="str">
        <f t="shared" si="16"/>
        <v>0,00</v>
      </c>
      <c r="J48" s="10" t="e">
        <f>SUMIFS('[7]TABLO-1'!S4:S32873,'[7]TABLO-1'!H4:H32873,"=Dağıtım-OG",'[7]TABLO-1'!J4:J32873,"=Güvenlik",'[7]TABLO-1'!K4:K32873,"=Bildirimli",'[7]TABLO-1'!I4:I32873,"=Uzun",'[7]TABLO-1'!D4:D32873,"=MURATLI")/P8</f>
        <v>#DIV/0!</v>
      </c>
      <c r="K48" s="10" t="e">
        <f>SUMIFS('[7]TABLO-1'!T4:T32873,'[7]TABLO-1'!H4:H32873,"=Dağıtım-OG",'[7]TABLO-1'!J4:J32873,"=Güvenlik",'[7]TABLO-1'!K4:K32873,"=bildirimli",'[7]TABLO-1'!I4:I32873,"=Uzun",'[7]TABLO-1'!D4:D32873,"=MURATLI")/P14</f>
        <v>#DIV/0!</v>
      </c>
      <c r="L48" s="10" t="str">
        <f t="shared" si="17"/>
        <v>0,00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İşletmecisi",'[7]TABLO-1'!K4:K32873,"=Bildirimli",'[7]TABLO-1'!I4:I32873,"=Uzun",'[7]TABLO-1'!D4:D32873,"=MURATLI")/P6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İşletmecisi",'[7]TABLO-1'!K4:K32873,"=Bildirimli",'[7]TABLO-1'!I4:I32873,"=Uzun",'[7]TABLO-1'!D4:D32873,"=MURATLI")/P12</f>
        <v>1.294691763768549E-3</v>
      </c>
      <c r="F49" s="10">
        <f t="shared" si="15"/>
        <v>1.2835069358740189E-3</v>
      </c>
      <c r="G49" s="12" t="e">
        <f>SUMIFS('[7]TABLO-1'!Q4:Q32873,'[7]TABLO-1'!H4:H32873,"=Dağıtım-AG",'[7]TABLO-1'!J4:J32873,"=Şebeke İşletmecisi",'[7]TABLO-1'!K4:K32873,"=Bildirimli",'[7]TABLO-1'!I4:I32873,"=Uzun",'[7]TABLO-1'!D4:D32873,"=MURATLI")/P7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İşletmecisi",'[7]TABLO-1'!K4:K32873,"=Bildirimli",'[7]TABLO-1'!I4:I32873,"=Uzun",'[7]TABLO-1'!D4:D32873,"=MURATLI")/P13</f>
        <v>#DIV/0!</v>
      </c>
      <c r="I49" s="10" t="str">
        <f t="shared" si="16"/>
        <v>0,00</v>
      </c>
      <c r="J49" s="12" t="e">
        <f>SUMIFS('[7]TABLO-1'!S4:S32873,'[7]TABLO-1'!H4:H32873,"=Dağıtım-AG",'[7]TABLO-1'!J4:J32873,"=Şebeke İşletmecisi",'[7]TABLO-1'!K4:K32873,"=Bildirimli",'[7]TABLO-1'!I4:I32873,"=Uzun",'[7]TABLO-1'!D4:D32873,"=MURATLI")/P8</f>
        <v>#DIV/0!</v>
      </c>
      <c r="K49" s="10" t="e">
        <f>SUMIFS('[7]TABLO-1'!T4:T32873,'[7]TABLO-1'!H4:H32873,"=Dağıtım-AG",'[7]TABLO-1'!J4:J32873,"=Şebeke İşletmecisi",'[7]TABLO-1'!K4:K32873,"=bildirimli",'[7]TABLO-1'!I4:I32873,"=Uzun",'[7]TABLO-1'!D4:D32873,"=MURATLI")/P14</f>
        <v>#DIV/0!</v>
      </c>
      <c r="L49" s="10" t="str">
        <f t="shared" si="17"/>
        <v>0,00</v>
      </c>
      <c r="M49" s="11">
        <f t="shared" si="18"/>
        <v>1.2835069358740189E-3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SUMIFS('[7]TABLO-1'!O4:O32873,'[7]TABLO-1'!H4:H32873,"=Dağıtım-AG",'[7]TABLO-1'!J4:J32873,"=Güvenlik",'[7]TABLO-1'!K4:K32873,"=Bildirimli",'[7]TABLO-1'!I4:I32873,"=Uzun",'[7]TABLO-1'!D4:D32873,"=MURATLI")/P6</f>
        <v>0</v>
      </c>
      <c r="E50" s="10">
        <f>SUMIFS('[7]TABLO-1'!P4:P32873,'[7]TABLO-1'!H4:H32873,"=Dağıtım-AG",'[7]TABLO-1'!J4:J32873,"=Güvenlik",'[7]TABLO-1'!K4:K32873,"=Bildirimli",'[7]TABLO-1'!I4:I32873,"=Uzun",'[7]TABLO-1'!D4:D32873,"=MURATLI")/P12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SUMIFS('[7]TABLO-1'!Q4:Q32873,'[7]TABLO-1'!H4:H32873,"=Dağıtım-AG",'[7]TABLO-1'!J4:J32873,"=Güvenlik",'[7]TABLO-1'!K4:K32873,"=Bildirimli",'[7]TABLO-1'!I4:I32873,"=Uzun",'[7]TABLO-1'!D4:D32873,"=MURATLI")/P7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SUMIFS('[7]TABLO-1'!R4:R32873,'[7]TABLO-1'!H4:H32873,"=Dağıtım-AG",'[7]TABLO-1'!J4:J32873,"=Güvenlik",'[7]TABLO-1'!K4:K32873,"=Bildirimli",'[7]TABLO-1'!I4:I32873,"=Uzun",'[7]TABLO-1'!D4:D32873,"=MURATLI")/P13</f>
        <v>#DIV/0!</v>
      </c>
      <c r="I50" s="10" t="str">
        <f t="shared" si="16"/>
        <v>0,00</v>
      </c>
      <c r="J50" s="12" t="e">
        <f>SUMIFS('[7]TABLO-1'!S4:S32873,'[7]TABLO-1'!H4:H32873,"=Dağıtım-AG",'[7]TABLO-1'!J4:J32873,"=Güvenlik",'[7]TABLO-1'!K4:K32873,"=Bildirimli",'[7]TABLO-1'!I4:I32873,"=Uzun",'[7]TABLO-1'!D4:D32873,"=MURATLI")/P8</f>
        <v>#DIV/0!</v>
      </c>
      <c r="K50" s="10" t="e">
        <f>SUMIFS('[7]TABLO-1'!T4:T32873,'[7]TABLO-1'!H4:H32873,"=Dağıtım-AG",'[7]TABLO-1'!J4:J32873,"=Güvenlik",'[7]TABLO-1'!K4:K32873,"=bildirimli",'[7]TABLO-1'!I4:I32873,"=Uzun",'[7]TABLO-1'!D4:D32873,"=MURATLI")/P14</f>
        <v>#DIV/0!</v>
      </c>
      <c r="L50" s="10" t="str">
        <f t="shared" si="17"/>
        <v>0,00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8.5714285714285715E-2</v>
      </c>
      <c r="E51" s="10">
        <f t="shared" ref="E51:M51" si="19">SUM(E46:E50)</f>
        <v>0.35628921422169108</v>
      </c>
      <c r="F51" s="10">
        <f t="shared" si="19"/>
        <v>0.35395172039295059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 t="e">
        <f t="shared" si="19"/>
        <v>#DIV/0!</v>
      </c>
      <c r="K51" s="10" t="e">
        <f t="shared" si="19"/>
        <v>#DIV/0!</v>
      </c>
      <c r="L51" s="10">
        <f t="shared" si="19"/>
        <v>0</v>
      </c>
      <c r="M51" s="10">
        <f t="shared" si="19"/>
        <v>0.35395172039295059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SUMIFS('[7]TABLO-1'!O1:O32873,'[7]TABLO-1'!H1:H32873,"=İletim",'[7]TABLO-1'!K1:K32873,"=Bildirimsiz",'[7]TABLO-1'!I1:I32873,"=Kısa",'[7]TABLO-1'!D1:D32873,"=MURATLI")/P6</f>
        <v>0</v>
      </c>
      <c r="D56" s="10">
        <f>SUMIFS('[7]TABLO-1'!P1:P32873,'[7]TABLO-1'!H1:H32873,"=İletim",'[7]TABLO-1'!K1:K32873,"=Bildirimsiz",'[7]TABLO-1'!I1:I32873,"=Kısa",'[7]TABLO-1'!D1:D32873,"=MURATLI")/P12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SUMIFS('[7]TABLO-1'!Q1:Q32873,'[7]TABLO-1'!H1:H32873,"=İletim",'[7]TABLO-1'!K1:K32873,"=Bildirimsiz",'[7]TABLO-1'!I1:I32873,"=Kısa",'[7]TABLO-1'!D1:D32873,"=MURATLI")/P7</f>
        <v>#DIV/0!</v>
      </c>
      <c r="G56" s="10" t="e">
        <f>SUMIFS('[7]TABLO-1'!R1:R32873,'[7]TABLO-1'!H1:H32873,"=İletim",'[7]TABLO-1'!K1:K32873,"=Bildirimsiz",'[7]TABLO-1'!I1:I32873,"=Kısa",'[7]TABLO-1'!D1:D32873,"=MURATLI")/P13</f>
        <v>#DIV/0!</v>
      </c>
      <c r="H56" s="10" t="str">
        <f>IFERROR((((F56*$P$7)+(G56*$P$13))/$P$20),"0,00")</f>
        <v>0,00</v>
      </c>
      <c r="I56" s="10" t="e">
        <f>SUMIFS('[7]TABLO-1'!S1:S32873,'[7]TABLO-1'!H1:H32873,"=İletim",'[7]TABLO-1'!K1:K32873,"=Bildirimsiz",'[7]TABLO-1'!I1:I32873,"=Kısa",'[7]TABLO-1'!D1:D32873,"=MURATLI")/P8</f>
        <v>#DIV/0!</v>
      </c>
      <c r="J56" s="10" t="e">
        <f>SUMIFS('[7]TABLO-1'!T1:T32873,'[7]TABLO-1'!H1:H32873,"=İletim",'[7]TABLO-1'!K1:K32873,"=Bildirimsiz",'[7]TABLO-1'!I1:I32873,"=Kısa",'[7]TABLO-1'!D1:D32873,"=MURATLI")/P14</f>
        <v>#DIV/0!</v>
      </c>
      <c r="K56" s="10" t="str">
        <f>IFERROR((((I56*$P$8)+(J56*$P$14))/$P$23),"0,00")</f>
        <v>0,00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SUMIFS('[7]TABLO-1'!O4:O32873,'[7]TABLO-1'!H4:H32873,"=Dağıtım-OG",'[7]TABLO-1'!K4:K32873,"=Bildirimsiz",'[7]TABLO-1'!I4:I32873,"=Kısa",'[7]TABLO-1'!D4:D32873,"=MURATLI")/P6</f>
        <v>0</v>
      </c>
      <c r="D57" s="10">
        <f>SUMIFS('[7]TABLO-1'!P4:P32873,'[7]TABLO-1'!H4:H32873,"=Dağıtım-OG",'[7]TABLO-1'!K4:K32873,"=Bildirimsiz",'[7]TABLO-1'!I4:I32873,"=Kısa",'[7]TABLO-1'!D4:D32873,"=MURATLI")/P12</f>
        <v>0</v>
      </c>
      <c r="E57" s="10">
        <f>IFERROR((((C57*$P$6)+(D57*$P$12))/$P$17),"0,00")</f>
        <v>0</v>
      </c>
      <c r="F57" s="10" t="e">
        <f>SUMIFS('[7]TABLO-1'!Q4:Q32873,'[7]TABLO-1'!H4:H32873,"=Dağıtım-OG",'[7]TABLO-1'!K4:K32873,"=Bildirimsiz",'[7]TABLO-1'!I4:I32873,"=Kısa",'[7]TABLO-1'!D4:D32873,"=MURATLI")/P7</f>
        <v>#DIV/0!</v>
      </c>
      <c r="G57" s="10" t="e">
        <f>SUMIFS('[7]TABLO-1'!R4:R32873,'[7]TABLO-1'!H4:H32873,"=Dağıtım-OG",'[7]TABLO-1'!K4:K32873,"=Bildirimsiz",'[7]TABLO-1'!I4:I32873,"=Kısa",'[7]TABLO-1'!D4:D32873,"=MURATLI")/P13</f>
        <v>#DIV/0!</v>
      </c>
      <c r="H57" s="10" t="str">
        <f>IFERROR((((F57*$P$7)+(G57*$P$13))/$P$20),"0,00")</f>
        <v>0,00</v>
      </c>
      <c r="I57" s="10" t="e">
        <f>SUMIFS('[7]TABLO-1'!S4:S32873,'[7]TABLO-1'!H4:H32873,"=Dağıtım-OG",'[7]TABLO-1'!K4:K32873,"=Bildirimsiz",'[7]TABLO-1'!I4:I32873,"=Kısa",'[7]TABLO-1'!D4:D32873,"=MURATLI")/P8</f>
        <v>#DIV/0!</v>
      </c>
      <c r="J57" s="10" t="e">
        <f>SUMIFS('[7]TABLO-1'!T4:T32873,'[7]TABLO-1'!H4:H32873,"=Dağıtım-OG",'[7]TABLO-1'!K4:K32873,"=Bildirimsiz",'[7]TABLO-1'!I4:I32873,"=Kısa",'[7]TABLO-1'!D4:D32873,"=MURATLI")/P14</f>
        <v>#DIV/0!</v>
      </c>
      <c r="K57" s="10" t="str">
        <f>IFERROR((((I57*$P$8)+(J57*$P$14))/$P$23),"0,00")</f>
        <v>0,00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SUMIFS('[7]TABLO-1'!O4:O32873,'[7]TABLO-1'!H4:H32873,"=Dağıtım-AG",'[7]TABLO-1'!K4:K32873,"=Bildirimsiz",'[7]TABLO-1'!I4:I32873,"=Kısa",'[7]TABLO-1'!D4:D32873,"=MURATLI")/P6</f>
        <v>0</v>
      </c>
      <c r="D58" s="10">
        <f>SUMIFS('[7]TABLO-1'!P4:P32873,'[7]TABLO-1'!H4:H32873,"=Dağıtım-AG",'[7]TABLO-1'!K4:K32873,"=Bildirimsiz",'[7]TABLO-1'!I4:I32873,"=Kısa",'[7]TABLO-1'!D4:D32873,"=MURATLI")/P12</f>
        <v>2.6889752016731401E-3</v>
      </c>
      <c r="E58" s="10">
        <f>IFERROR((((C58*$P$6)+(D58*$P$12))/$P$17),"0,00")</f>
        <v>2.6657451745075778E-3</v>
      </c>
      <c r="F58" s="10" t="e">
        <f>SUMIFS('[7]TABLO-1'!Q4:Q32873,'[7]TABLO-1'!H4:H32873,"=Dağıtım-AG",'[7]TABLO-1'!K4:K32873,"=Bildirimsiz",'[7]TABLO-1'!I4:I32873,"=Kısa",'[7]TABLO-1'!D4:D32873,"=MURATLI")/P7</f>
        <v>#DIV/0!</v>
      </c>
      <c r="G58" s="10" t="e">
        <f>SUMIFS('[7]TABLO-1'!R4:R32873,'[7]TABLO-1'!H4:H32873,"=Dağıtım-AG",'[7]TABLO-1'!K4:K32873,"=Bildirimsiz",'[7]TABLO-1'!I4:I32873,"=Kısa",'[7]TABLO-1'!D4:D32873,"=MURATLI")/P13</f>
        <v>#DIV/0!</v>
      </c>
      <c r="H58" s="10" t="str">
        <f>IFERROR((((F58*$P$7)+(G58*$P$13))/$P$20),"0,00")</f>
        <v>0,00</v>
      </c>
      <c r="I58" s="10" t="e">
        <f>SUMIFS('[7]TABLO-1'!S4:S32873,'[7]TABLO-1'!H4:H32873,"=Dağıtım-AG",'[7]TABLO-1'!K4:K32873,"=Bildirimsiz",'[7]TABLO-1'!I4:I32873,"=Kısa",'[7]TABLO-1'!D4:D32873,"=MURATLI")/P8</f>
        <v>#DIV/0!</v>
      </c>
      <c r="J58" s="10" t="e">
        <f>SUMIFS('[7]TABLO-1'!T4:T32873,'[7]TABLO-1'!H4:H32873,"=Dağıtım-AG",'[7]TABLO-1'!K4:K32873,"=Bildirimsiz",'[7]TABLO-1'!I4:I32873,"=Kısa",'[7]TABLO-1'!D4:D32873,"=MURATLI")/P14</f>
        <v>#DIV/0!</v>
      </c>
      <c r="K58" s="10" t="str">
        <f>IFERROR((((I58*$P$8)+(J58*$P$14))/$P$23),"0,00")</f>
        <v>0,00</v>
      </c>
      <c r="L58" s="11">
        <f>IFERROR((((E58*$P$17)+(H58*$P$20)+(K58*$P$23))/$P$26),"0,00")</f>
        <v>2.6657451745075778E-3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2.6889752016731401E-3</v>
      </c>
      <c r="E59" s="10">
        <f t="shared" si="20"/>
        <v>2.6657451745075778E-3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 t="e">
        <f t="shared" si="20"/>
        <v>#DIV/0!</v>
      </c>
      <c r="J59" s="10" t="e">
        <f t="shared" si="20"/>
        <v>#DIV/0!</v>
      </c>
      <c r="K59" s="10">
        <f t="shared" si="20"/>
        <v>0</v>
      </c>
      <c r="L59" s="10">
        <f t="shared" si="20"/>
        <v>2.6657451745075778E-3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175</v>
      </c>
      <c r="D65" s="27">
        <f>P12</f>
        <v>20082</v>
      </c>
      <c r="E65" s="27">
        <f>C65+D65</f>
        <v>20257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0</v>
      </c>
      <c r="J65" s="27">
        <f>P14</f>
        <v>0</v>
      </c>
      <c r="K65" s="17">
        <f>SUM(I65:J65)</f>
        <v>0</v>
      </c>
      <c r="L65" s="17">
        <f>H65+E65+K65</f>
        <v>20257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Q71"/>
  <sheetViews>
    <sheetView zoomScale="70" zoomScaleNormal="70" workbookViewId="0">
      <selection activeCell="N57" sqref="N57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İşletmecisi",'[7]TABLO-1'!K4:K32873,"=Bildirimsiz",'[7]TABLO-1'!I4:I32873,"=Uzun",'[7]TABLO-1'!D4:D32873,"=ÇORLU")/P6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İşletmecisi",'[7]TABLO-1'!K4:K32873,"=Bildirimsiz",'[7]TABLO-1'!I4:I32873,"=Uzun",'[7]TABLO-1'!D4:D32873,"=ÇORLU")/P12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İşletmecisi",'[7]TABLO-1'!K4:K32873,"=Bildirimsiz",'[7]TABLO-1'!I4:I32873,"=Uzun",'[7]TABLO-1'!D4:D32873,"=ÇORLU")/P7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İşletmecisi",'[7]TABLO-1'!K4:K32873,"=Bildirimsiz",'[7]TABLO-1'!I4:I32873,"=Uzun",'[7]TABLO-1'!D4:D32873,"=ÇORLU")/P13</f>
        <v>#DIV/0!</v>
      </c>
      <c r="I6" s="10" t="str">
        <f>IFERROR((((G6*$P$7)+(H6*$P$13))/$P$20),"0,00")</f>
        <v>0,00</v>
      </c>
      <c r="J6" s="10">
        <f>SUMIFS('[7]TABLO-1'!Y4:Y32873,'[7]TABLO-1'!H4:H32873,"=İletim",'[7]TABLO-1'!J4:J32873,"=Şebeke İşletmecisi",'[7]TABLO-1'!K4:K32873,"=Bildirimsiz",'[7]TABLO-1'!I4:I32873,"=Uzun",'[7]TABLO-1'!D4:D32873,"=ÇORLU")/P8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İşletmecisi",'[7]TABLO-1'!K4:K32873,"=Bildirimsiz",'[7]TABLO-1'!I4:I32873,"=Uzun",'[7]TABLO-1'!D4:D32873,"=ÇORLU")/P14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1419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Sebep",'[7]TABLO-1'!K4:K32873,"=Bildirimsiz",'[7]TABLO-1'!I4:I32873,"=Uzun",'[7]TABLO-1'!D4:D32873,"=ÇORLU")/P6</f>
        <v>0</v>
      </c>
      <c r="E7" s="10">
        <f>SUMIFS('[7]TABLO-1'!V4:V32873,'[7]TABLO-1'!H4:H32873,"=İletim",'[7]TABLO-1'!J4:J32873,"=Mücbir Sebep",'[7]TABLO-1'!K4:K32873,"=Bildirimsiz",'[7]TABLO-1'!I4:I32873,"=Uzun",'[7]TABLO-1'!D4:D32873,"=ÇORLU")/P12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Sebep",'[7]TABLO-1'!K4:K32873,"=Bildirimsiz",'[7]TABLO-1'!I4:I32873,"=Uzun",'[7]TABLO-1'!D4:D32873,"=ÇORLU")/P7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Sebep",'[7]TABLO-1'!K4:K32873,"=Bildirimsiz",'[7]TABLO-1'!I4:I32873,"=Uzun",'[7]TABLO-1'!D4:D32873,"=ÇORLU")/P13</f>
        <v>#DIV/0!</v>
      </c>
      <c r="I7" s="10" t="str">
        <f t="shared" ref="I7:I15" si="1">IFERROR((((G7*$P$7)+(H7*$P$13))/$P$20),"0,00")</f>
        <v>0,00</v>
      </c>
      <c r="J7" s="10">
        <f>SUMIFS('[7]TABLO-1'!Y4:Y32873,'[7]TABLO-1'!H4:H32873,"=İletim",'[7]TABLO-1'!J4:J32873,"=Mücbir Sebep",'[7]TABLO-1'!K4:K32873,"=Bildirimsiz",'[7]TABLO-1'!I4:I32873,"=Uzun",'[7]TABLO-1'!D4:D32873,"=ÇORLU")/P8</f>
        <v>0</v>
      </c>
      <c r="K7" s="10">
        <f>SUMIFS('[7]TABLO-1'!Z4:Z32873,'[7]TABLO-1'!H4:H32873,"=İletim",'[7]TABLO-1'!J4:J32873,"=Mücbir Sebep",'[7]TABLO-1'!K4:K32873,"=Bildirimsiz",'[7]TABLO-1'!I4:I32873,"=Uzun",'[7]TABLO-1'!D4:D32873,"=ÇORLU")/P14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İşletmecisi",'[7]TABLO-1'!K4:K32873,"=Bildirimsiz",'[7]TABLO-1'!I4:I32873,"=Uzun",'[7]TABLO-1'!D4:D32873,"=ÇORLU")/P6</f>
        <v>20.585118628118824</v>
      </c>
      <c r="E8" s="10">
        <f>SUMIFS('[7]TABLO-1'!V4:V32873,'[7]TABLO-1'!H4:H32873,"=Dağıtım-OG",'[7]TABLO-1'!J4:J32873,"=Şebeke İşletmecisi",'[7]TABLO-1'!K4:K32873,"=Bildirimsiz",'[7]TABLO-1'!I4:I32873,"=Uzun",'[7]TABLO-1'!D4:D32873,"=ÇORLU")/P12</f>
        <v>18.199733570455709</v>
      </c>
      <c r="F8" s="10">
        <f t="shared" si="0"/>
        <v>18.220201116709564</v>
      </c>
      <c r="G8" s="10" t="e">
        <f>SUMIFS('[7]TABLO-1'!W4:W32873,'[7]TABLO-1'!H4:H32873,"=Dağıtım-OG",'[7]TABLO-1'!J4:J32873,"=Şebeke İşletmecisi",'[7]TABLO-1'!K4:K32873,"=Bildirimsiz",'[7]TABLO-1'!I4:I32873,"=Uzun",'[7]TABLO-1'!D4:D32873,"=ÇORLU")/P7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İşletmecisi",'[7]TABLO-1'!K4:K32873,"=Bildirimsiz",'[7]TABLO-1'!I4:I32873,"=Uzun",'[7]TABLO-1'!D4:D32873,"=ÇORLU")/P13</f>
        <v>#DIV/0!</v>
      </c>
      <c r="I8" s="10" t="str">
        <f t="shared" si="1"/>
        <v>0,00</v>
      </c>
      <c r="J8" s="10">
        <f>SUMIFS('[7]TABLO-1'!Y4:Y32873,'[7]TABLO-1'!H4:H32873,"=Dağıtım-OG",'[7]TABLO-1'!J4:J32873,"=Şebeke İşletmecisi",'[7]TABLO-1'!K4:K32873,"=Bildirimsiz",'[7]TABLO-1'!I4:I32873,"=Uzun",'[7]TABLO-1'!D4:D32873,"=ÇORLU")/P8</f>
        <v>26.732945737407306</v>
      </c>
      <c r="K8" s="10">
        <f>SUMIFS('[7]TABLO-1'!Z4:Z32873,'[7]TABLO-1'!H4:H32873,"=Dağıtım-OG",'[7]TABLO-1'!J4:J32873,"=Şebeke İşletmecisi",'[7]TABLO-1'!K4:K32873,"=Bildirimsiz",'[7]TABLO-1'!I4:I32873,"=Uzun",'[7]TABLO-1'!D4:D32873,"=ÇORLU")/P14</f>
        <v>196.11315791127728</v>
      </c>
      <c r="L8" s="10">
        <f t="shared" si="2"/>
        <v>173.24549975279561</v>
      </c>
      <c r="M8" s="11">
        <f t="shared" si="3"/>
        <v>19.405325901213548</v>
      </c>
      <c r="O8" s="20" t="s">
        <v>36</v>
      </c>
      <c r="P8" s="53">
        <v>172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SUMIFS('[7]TABLO-1'!U4:U32873,'[7]TABLO-1'!H4:H32873,"=Dağıtım-OG",'[7]TABLO-1'!J4:J32873,"=Dışsal",'[7]TABLO-1'!K4:K32873,"=Bildirimsiz",'[7]TABLO-1'!I4:I32873,"=Uzun",'[7]TABLO-1'!D4:D32873,"=ÇORLU")/P6</f>
        <v>5.3029363401614162</v>
      </c>
      <c r="E9" s="10">
        <f>SUMIFS('[7]TABLO-1'!V4:V32873,'[7]TABLO-1'!H4:H32873,"=Dağıtım-OG",'[7]TABLO-1'!J4:J32873,"=Dışsal",'[7]TABLO-1'!K4:K32873,"=Bildirimsiz",'[7]TABLO-1'!I4:I32873,"=Uzun",'[7]TABLO-1'!D4:D32873,"=ÇORLU")/P12</f>
        <v>4.5890915152968956</v>
      </c>
      <c r="F9" s="10">
        <f t="shared" si="0"/>
        <v>4.5952165859323699</v>
      </c>
      <c r="G9" s="10" t="e">
        <f>SUMIFS('[7]TABLO-1'!W4:W32873,'[7]TABLO-1'!H4:H32873,"=Dağıtım-OG",'[7]TABLO-1'!J4:J32873,"=Dışsal",'[7]TABLO-1'!K4:K32873,"=Bildirimsiz",'[7]TABLO-1'!I4:I32873,"=Uzun",'[7]TABLO-1'!D4:D32873,"=ÇORLU")/P7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SUMIFS('[7]TABLO-1'!X4:X32873,'[7]TABLO-1'!H4:H32873,"=Dağıtım-OG",'[7]TABLO-1'!J4:J32873,"=Dışsal",'[7]TABLO-1'!K4:K32873,"=Bildirimsiz",'[7]TABLO-1'!I4:I32873,"=Uzun",'[7]TABLO-1'!D4:D32873,"=ÇORLU")/P13</f>
        <v>#DIV/0!</v>
      </c>
      <c r="I9" s="10" t="str">
        <f t="shared" si="1"/>
        <v>0,00</v>
      </c>
      <c r="J9" s="10">
        <f>SUMIFS('[7]TABLO-1'!Y4:Y32873,'[7]TABLO-1'!H4:H32873,"=Dağıtım-OG",'[7]TABLO-1'!J4:J32873,"=Dışsal",'[7]TABLO-1'!K4:K32873,"=Bildirimsiz",'[7]TABLO-1'!I4:I32873,"=Uzun",'[7]TABLO-1'!D4:D32873,"=ÇORLU")/P8</f>
        <v>15.204748062404729</v>
      </c>
      <c r="K9" s="10">
        <f>SUMIFS('[7]TABLO-1'!Z4:Z32873,'[7]TABLO-1'!H4:H32873,"=Dağıtım-OG",'[7]TABLO-1'!J4:J32873,"=Dışsal",'[7]TABLO-1'!K4:K32873,"=Bildirimsiz",'[7]TABLO-1'!I4:I32873,"=Uzun",'[7]TABLO-1'!D4:D32873,"=ÇORLU")/P14</f>
        <v>0</v>
      </c>
      <c r="L9" s="10">
        <f t="shared" si="2"/>
        <v>2.0527603349557402</v>
      </c>
      <c r="M9" s="11">
        <f t="shared" si="3"/>
        <v>4.5757802233318206</v>
      </c>
      <c r="O9" s="20" t="s">
        <v>17</v>
      </c>
      <c r="P9" s="53">
        <f>P6+P7+P8</f>
        <v>1591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Sebep",'[7]TABLO-1'!K4:K32873,"=Bildirimsiz",'[7]TABLO-1'!I4:I32873,"=Uzun",'[7]TABLO-1'!D4:D32873,"=ÇORLU")/P6</f>
        <v>0</v>
      </c>
      <c r="E10" s="10">
        <f>SUMIFS('[7]TABLO-1'!V4:V32873,'[7]TABLO-1'!H4:H32873,"=Dağıtım-OG",'[7]TABLO-1'!J4:J32873,"=Mücbir Sebep",'[7]TABLO-1'!K4:K32873,"=Bildirimsiz",'[7]TABLO-1'!I4:I32873,"=Uzun",'[7]TABLO-1'!D4:D32873,"=ÇORLU")/P12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Sebep",'[7]TABLO-1'!K4:K32873,"=Bildirimsiz",'[7]TABLO-1'!I4:I32873,"=Uzun",'[7]TABLO-1'!D4:D32873,"=ÇORLU")/P7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Sebep",'[7]TABLO-1'!K4:K32873,"=Bildirimsiz",'[7]TABLO-1'!I4:I32873,"=Uzun",'[7]TABLO-1'!D4:D32873,"=ÇORLU")/P13</f>
        <v>#DIV/0!</v>
      </c>
      <c r="I10" s="10" t="str">
        <f t="shared" si="1"/>
        <v>0,00</v>
      </c>
      <c r="J10" s="10">
        <f>SUMIFS('[7]TABLO-1'!Y4:Y32873,'[7]TABLO-1'!H4:H32873,"=Dağıtım-OG",'[7]TABLO-1'!J4:J32873,"=Mücbir Sebep",'[7]TABLO-1'!K4:K32873,"=Bildirimsiz",'[7]TABLO-1'!I4:I32873,"=Uzun",'[7]TABLO-1'!D4:D32873,"=ÇORLU")/P8</f>
        <v>0</v>
      </c>
      <c r="K10" s="10">
        <f>SUMIFS('[7]TABLO-1'!Z4:Z32873,'[7]TABLO-1'!H4:H32873,"=Dağıtım-OG",'[7]TABLO-1'!J4:J32873,"=Mücbir Sebep",'[7]TABLO-1'!K4:K32873,"=Bildirimsiz",'[7]TABLO-1'!I4:I32873,"=Uzun",'[7]TABLO-1'!D4:D32873,"=ÇORLU")/P14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SUMIFS('[7]TABLO-1'!U4:U32873,'[7]TABLO-1'!H4:H32873,"=Dağıtım-OG",'[7]TABLO-1'!J4:J32873,"=Güvenlik",'[7]TABLO-1'!K4:K32873,"=Bildirimsiz",'[7]TABLO-1'!I4:I32873,"=Uzun",'[7]TABLO-1'!D4:D32873,"=ÇORLU")/P6</f>
        <v>0</v>
      </c>
      <c r="E11" s="10">
        <f>SUMIFS('[7]TABLO-1'!V4:V32873,'[7]TABLO-1'!H4:H32873,"=Dağıtım-OG",'[7]TABLO-1'!J4:J32873,"=Güvenlik",'[7]TABLO-1'!K4:K32873,"=Bildirimsiz",'[7]TABLO-1'!I4:I32873,"=Uzun",'[7]TABLO-1'!D4:D32873,"=ÇORLU")/P12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SUMIFS('[7]TABLO-1'!W4:W32873,'[7]TABLO-1'!H4:H32873,"=Dağıtım-OG",'[7]TABLO-1'!J4:J32873,"=Güvenlik",'[7]TABLO-1'!K4:K32873,"=Bildirimsiz",'[7]TABLO-1'!I4:I32873,"=Uzun",'[7]TABLO-1'!D4:D32873,"=ÇORLU")/P7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SUMIFS('[7]TABLO-1'!X4:X32873,'[7]TABLO-1'!H4:H32873,"=Dağıtım-OG",'[7]TABLO-1'!J4:J32873,"=Güvenlik",'[7]TABLO-1'!K4:K32873,"=Bildirimsiz",'[7]TABLO-1'!I4:I32873,"=Uzun",'[7]TABLO-1'!D4:D32873,"=ÇORLU")/P13</f>
        <v>#DIV/0!</v>
      </c>
      <c r="I11" s="10" t="str">
        <f t="shared" si="1"/>
        <v>0,00</v>
      </c>
      <c r="J11" s="10">
        <f>SUMIFS('[7]TABLO-1'!Y4:Y32873,'[7]TABLO-1'!H4:H32873,"=Dağıtım-OG",'[7]TABLO-1'!J4:J32873,"=Güvenlik",'[7]TABLO-1'!K4:K32873,"=Bildirimsiz",'[7]TABLO-1'!I4:I32873,"=Uzun",'[7]TABLO-1'!D4:D32873,"=ÇORLU")/P8</f>
        <v>0</v>
      </c>
      <c r="K11" s="10">
        <f>SUMIFS('[7]TABLO-1'!Z4:Z32873,'[7]TABLO-1'!H4:H32873,"=Dağıtım-OG",'[7]TABLO-1'!J4:J32873,"=Güvenlik",'[7]TABLO-1'!K4:K32873,"=Bildirimsiz",'[7]TABLO-1'!I4:I32873,"=Uzun",'[7]TABLO-1'!D4:D32873,"=ÇORLU")/P14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İşletmecisi",'[7]TABLO-1'!K4:K32873,"=Bildirimsiz",'[7]TABLO-1'!I4:I32873,"=Uzun",'[7]TABLO-1'!D4:D32873,"=ÇORLU")/P6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işletmecisi",'[7]TABLO-1'!K4:K32873,"=Bildirimsiz",'[7]TABLO-1'!I4:I32873,"=Uzun",'[7]TABLO-1'!D4:D32873,"=ÇORLU")/P12</f>
        <v>4.790954898942938</v>
      </c>
      <c r="F12" s="10">
        <f t="shared" si="0"/>
        <v>4.7498466130168415</v>
      </c>
      <c r="G12" s="12" t="e">
        <f>SUMIFS('[7]TABLO-1'!W4:W32873,'[7]TABLO-1'!H4:H32873,"=Dağıtım-AG",'[7]TABLO-1'!J4:J32873,"=Şebeke İşletmecisi",'[7]TABLO-1'!K4:K32873,"=Bildirimsiz",'[7]TABLO-1'!I4:I32873,"=Uzun",'[7]TABLO-1'!D4:D32873,"=ÇORLU")/P7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İşletmecisi",'[7]TABLO-1'!K4:K32873,"=Bildirimsiz",'[7]TABLO-1'!I4:I32873,"=Uzun",'[7]TABLO-1'!D4:D32873,"=ÇORLU")/P13</f>
        <v>#DIV/0!</v>
      </c>
      <c r="I12" s="10" t="str">
        <f t="shared" si="1"/>
        <v>0,00</v>
      </c>
      <c r="J12" s="12">
        <f>SUMIFS('[7]TABLO-1'!Y4:Y32873,'[7]TABLO-1'!H4:H32873,"=Dağıtım-AG",'[7]TABLO-1'!J4:J32873,"=Şebeke İşletmecisi",'[7]TABLO-1'!K4:K32873,"=Bildirimsiz",'[7]TABLO-1'!I4:I32873,"=Uzun",'[7]TABLO-1'!D4:D32873,"=ÇORLU")/P8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İşletmecisi",'[7]TABLO-1'!K4:K32873,"=Bildirimsiz",'[7]TABLO-1'!I4:I32873,"=Uzun",'[7]TABLO-1'!D4:D32873,"=ÇORLU")/P14</f>
        <v>124.50473381781075</v>
      </c>
      <c r="L12" s="10">
        <f t="shared" si="2"/>
        <v>107.6956174782005</v>
      </c>
      <c r="M12" s="11">
        <f t="shared" si="3"/>
        <v>5.5368380627065763</v>
      </c>
      <c r="O12" s="6" t="s">
        <v>33</v>
      </c>
      <c r="P12" s="42">
        <v>163958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SUMIFS('[7]TABLO-1'!U4:U32873,'[7]TABLO-1'!H4:H32873,"=Dağıtım-AG",'[7]TABLO-1'!J4:J32873,"=Dışsal",'[7]TABLO-1'!K4:K32873,"=Bildirimsiz",'[7]TABLO-1'!I4:I32873,"=Uzun",'[7]TABLO-1'!D4:D32873,"=ÇORLU")/P6</f>
        <v>0</v>
      </c>
      <c r="E13" s="10">
        <f>SUMIFS('[7]TABLO-1'!V4:V32873,'[7]TABLO-1'!H4:H32873,"=Dağıtım-AG",'[7]TABLO-1'!J4:J32873,"=Dışsal",'[7]TABLO-1'!K4:K32873,"=Bildirimsiz",'[7]TABLO-1'!I4:I32873,"=Uzun",'[7]TABLO-1'!D4:D32873,"=ÇORLU")/P12</f>
        <v>0.28946996586133944</v>
      </c>
      <c r="F13" s="10">
        <f t="shared" si="0"/>
        <v>0.28698619918545804</v>
      </c>
      <c r="G13" s="12" t="e">
        <f>SUMIFS('[7]TABLO-1'!W4:W32873,'[7]TABLO-1'!H4:H32873,"=Dağıtım-AG",'[7]TABLO-1'!J4:J32873,"=Dışsal",'[7]TABLO-1'!K4:K32873,"=Bildirimsiz",'[7]TABLO-1'!I4:I32873,"=Uzun",'[7]TABLO-1'!D4:D32873,"=ÇORLU")/P7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SUMIFS('[7]TABLO-1'!X4:X32873,'[7]TABLO-1'!H4:H32873,"=Dağıtım-AG",'[7]TABLO-1'!J4:J32873,"=Dışsal",'[7]TABLO-1'!K4:K32873,"=Bildirimsiz",'[7]TABLO-1'!I4:I32873,"=Uzun",'[7]TABLO-1'!D4:D32873,"=ÇORLU")/P13</f>
        <v>#DIV/0!</v>
      </c>
      <c r="I13" s="10" t="str">
        <f t="shared" si="1"/>
        <v>0,00</v>
      </c>
      <c r="J13" s="12">
        <f>SUMIFS('[7]TABLO-1'!Y4:Y32873,'[7]TABLO-1'!H4:H32873,"=Dağıtım-AG",'[7]TABLO-1'!J4:J32873,"=Dışsal",'[7]TABLO-1'!K4:K32873,"=Bildirimsiz",'[7]TABLO-1'!I4:I32873,"=Uzun",'[7]TABLO-1'!D4:D32873,"=ÇORLU")/P8</f>
        <v>0</v>
      </c>
      <c r="K13" s="10">
        <f>SUMIFS('[7]TABLO-1'!Z4:Z32873,'[7]TABLO-1'!H4:H32873,"=Dağıtım-AG",'[7]TABLO-1'!J4:J32873,"=Dışsal",'[7]TABLO-1'!K4:K32873,"=Bildirimsiz",'[7]TABLO-1'!I4:I32873,"=Uzun",'[7]TABLO-1'!D4:D32873,"=ÇORLU")/P14</f>
        <v>5.4725499090537033</v>
      </c>
      <c r="L13" s="10">
        <f t="shared" si="2"/>
        <v>4.7337127156806762</v>
      </c>
      <c r="M13" s="11">
        <f t="shared" si="3"/>
        <v>0.32098017211100249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Sebep",'[7]TABLO-1'!K4:K32873,"=Bildirimsiz",'[7]TABLO-1'!I4:I32873,"=Uzun",'[7]TABLO-1'!D4:D32873,"=ÇORLU")/P6</f>
        <v>0</v>
      </c>
      <c r="E14" s="10">
        <f>SUMIFS('[7]TABLO-1'!V4:V32873,'[7]TABLO-1'!H4:H32873,"=Dağıtım-AG",'[7]TABLO-1'!J4:J32873,"=Mücbir Sebep",'[7]TABLO-1'!K4:K32873,"=Bildirimsiz",'[7]TABLO-1'!I4:I32873,"=Uzun",'[7]TABLO-1'!D4:D32873,"=ÇORLU")/P12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Sebep",'[7]TABLO-1'!K4:K32873,"=Bildirimsiz",'[7]TABLO-1'!I4:I32873,"=Uzun",'[7]TABLO-1'!D4:D32873,"=ÇORLU")/P7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Sebep",'[7]TABLO-1'!K4:K32873,"=Bildirimsiz",'[7]TABLO-1'!I4:I32873,"=Uzun",'[7]TABLO-1'!D4:D32873,"=ÇORLU")/P13</f>
        <v>#DIV/0!</v>
      </c>
      <c r="I14" s="10" t="str">
        <f t="shared" si="1"/>
        <v>0,00</v>
      </c>
      <c r="J14" s="12">
        <f>SUMIFS('[7]TABLO-1'!Y4:Y32873,'[7]TABLO-1'!H4:H32873,"=Dağıtım-AG",'[7]TABLO-1'!J4:J32873,"=Mücbir Sebep",'[7]TABLO-1'!K4:K32873,"=Bildirimsiz",'[7]TABLO-1'!I4:I32873,"=Uzun",'[7]TABLO-1'!D4:D32873,"=ÇORLU")/P8</f>
        <v>0</v>
      </c>
      <c r="K14" s="10">
        <f>SUMIFS('[7]TABLO-1'!Z4:Z32873,'[7]TABLO-1'!H4:H32873,"=Dağıtım-AG",'[7]TABLO-1'!J4:J32873,"=Mücbir Sebep",'[7]TABLO-1'!K4:K32873,"=Bildirimsiz",'[7]TABLO-1'!I4:I32873,"=Uzun",'[7]TABLO-1'!D4:D32873,"=ÇORLU")/P14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1102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SUMIFS('[7]TABLO-1'!U4:U32873,'[7]TABLO-1'!H4:H32873,"=Dağıtım-AG",'[7]TABLO-1'!J4:J32873,"=Güvenlik",'[7]TABLO-1'!K4:K32873,"=Bildirimsiz",'[7]TABLO-1'!I4:I32873,"=Uzun",'[7]TABLO-1'!D4:D32873,"=ÇORLU")/P6</f>
        <v>0</v>
      </c>
      <c r="E15" s="10">
        <f>SUMIFS('[7]TABLO-1'!V4:V32873,'[7]TABLO-1'!H4:H32873,"=Dağıtım-AG",'[7]TABLO-1'!J4:J32873,"=Güvenlik",'[7]TABLO-1'!K4:K32873,"=Bildirimsiz",'[7]TABLO-1'!I4:I32873,"=Uzun",'[7]TABLO-1'!D4:D32873,"=ÇORLU")/P12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SUMIFS('[7]TABLO-1'!W4:W32873,'[7]TABLO-1'!H4:H32873,"=Dağıtım-AG",'[7]TABLO-1'!J4:J32873,"=Güvenlik",'[7]TABLO-1'!K4:K32873,"=Bildirimsiz",'[7]TABLO-1'!I4:I32873,"=Uzun",'[7]TABLO-1'!D4:D32873,"=ÇORLU")/P7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SUMIFS('[7]TABLO-1'!X4:X32873,'[7]TABLO-1'!H4:H32873,"=Dağıtım-AG",'[7]TABLO-1'!J4:J32873,"=Güvenlik",'[7]TABLO-1'!K4:K32873,"=Bildirimsiz",'[7]TABLO-1'!I4:I32873,"=Uzun",'[7]TABLO-1'!D4:D32873,"=ÇORLU")/P13</f>
        <v>#DIV/0!</v>
      </c>
      <c r="I15" s="10" t="str">
        <f t="shared" si="1"/>
        <v>0,00</v>
      </c>
      <c r="J15" s="12">
        <f>SUMIFS('[7]TABLO-1'!Y4:Y32873,'[7]TABLO-1'!H4:H32873,"=Dağıtım-AG",'[7]TABLO-1'!J4:J32873,"=Güvenlik",'[7]TABLO-1'!K4:K32873,"=Bildirimsiz",'[7]TABLO-1'!I4:I32873,"=Uzun",'[7]TABLO-1'!D4:D32873,"=ÇORLU")/P8</f>
        <v>0</v>
      </c>
      <c r="K15" s="10">
        <f>SUMIFS('[7]TABLO-1'!Z4:Z32873,'[7]TABLO-1'!H4:H32873,"=Dağıtım-AG",'[7]TABLO-1'!J4:J32873,"=Güvenlik",'[7]TABLO-1'!K4:K32873,"=Bildirimsiz",'[7]TABLO-1'!I4:I32873,"=Uzun",'[7]TABLO-1'!D4:D32873,"=ÇORLU")/P14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165060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25.88805496828024</v>
      </c>
      <c r="E16" s="10">
        <f t="shared" si="4"/>
        <v>27.869249950556885</v>
      </c>
      <c r="F16" s="10">
        <f t="shared" si="4"/>
        <v>27.852250514844233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>
        <f>SUM(J6:J15)</f>
        <v>41.937693799812038</v>
      </c>
      <c r="K16" s="10">
        <f>SUM(K6:K15)</f>
        <v>326.09044163814173</v>
      </c>
      <c r="L16" s="10">
        <f>SUM(L6:L15)</f>
        <v>287.7275902816325</v>
      </c>
      <c r="M16" s="11">
        <f t="shared" si="4"/>
        <v>29.838924359362949</v>
      </c>
    </row>
    <row r="17" spans="2:16" ht="15" customHeight="1" x14ac:dyDescent="0.25">
      <c r="B17" s="29"/>
      <c r="O17" s="50" t="s">
        <v>37</v>
      </c>
      <c r="P17" s="47">
        <f>P6+P12</f>
        <v>165377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İşletmecisi",'[7]TABLO-1'!K4:K32873,"=Bildirimli",'[7]TABLO-1'!I4:I32873,"=Uzun",'[7]TABLO-1'!D4:D32873,"=ÇORLU")/P6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İşletmecisi",'[7]TABLO-1'!K4:K32873,"=Bildirimli",'[7]TABLO-1'!I4:I32873,"=Uzun",'[7]TABLO-1'!D4:D32873,"=ÇORLU")/P12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İşletmecisi",'[7]TABLO-1'!K4:K32873,"=Bildirimli",'[7]TABLO-1'!I4:I32873,"=Uzun",'[7]TABLO-1'!D4:D32873,"=ÇORLU")/P7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İşletmecisi",'[7]TABLO-1'!K4:K32873,"=Bildirimli",'[7]TABLO-1'!I4:I32873,"=Uzun",'[7]TABLO-1'!D4:D32873,"=ÇORLU")/P13</f>
        <v>#DIV/0!</v>
      </c>
      <c r="I21" s="10" t="str">
        <f>IFERROR((((G21*$P$7)+(H21*$P$13))/$P$20),"0,00")</f>
        <v>0,00</v>
      </c>
      <c r="J21" s="10">
        <f>SUMIFS('[7]TABLO-1'!Y4:Y32873,'[7]TABLO-1'!H4:H32873,"=İletim",'[7]TABLO-1'!J4:J32873,"=Şebeke İşletmecisi",'[7]TABLO-1'!K4:K32873,"=Bildirimli",'[7]TABLO-1'!I4:I32873,"=Uzun",'[7]TABLO-1'!D4:D32873,"=ÇORLU")/P8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İşletmecisi",'[7]TABLO-1'!K4:K32873,"=Bildirimli",'[7]TABLO-1'!I4:I32873,"=Uzun",'[7]TABLO-1'!D4:D32873,"=ÇORLU")/P14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İşletmecisi",'[7]TABLO-1'!K4:K32873,"=Bildirimli",'[7]TABLO-1'!I4:I32873,"=Uzun",'[7]TABLO-1'!D4:D32873,"=ÇORLU")/P6</f>
        <v>64.2297275085716</v>
      </c>
      <c r="E22" s="10">
        <f>SUMIFS('[7]TABLO-1'!V4:V32873,'[7]TABLO-1'!H4:H32873,"=Dağıtım-OG",'[7]TABLO-1'!J4:J32873,"=Şebeke İşletmecisi",'[7]TABLO-1'!K4:K32873,"=Bildirimli",'[7]TABLO-1'!I4:I32873,"=Uzun",'[7]TABLO-1'!D4:D32873,"=ÇORLU")/P12</f>
        <v>15.767648828684001</v>
      </c>
      <c r="F22" s="10">
        <f t="shared" ref="F22:F25" si="5">IFERROR((((D22*$P$6)+(E22*$P$12))/$P$17),"0,00")</f>
        <v>16.183472610992066</v>
      </c>
      <c r="G22" s="10" t="e">
        <f>SUMIFS('[7]TABLO-1'!W4:W32873,'[7]TABLO-1'!H4:H32873,"=Dağıtım-OG",'[7]TABLO-1'!J4:J32873,"=Şebeke İşletmecisi",'[7]TABLO-1'!K4:K32873,"=Bildirimli",'[7]TABLO-1'!I4:I32873,"=Uzun",'[7]TABLO-1'!D4:D32873,"=ÇORLU")/P7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İşletmecisi",'[7]TABLO-1'!K4:K32873,"=Bildirimli",'[7]TABLO-1'!I4:I32873,"=Uzun",'[7]TABLO-1'!D4:D32873,"=ÇORLU")/P13</f>
        <v>#DIV/0!</v>
      </c>
      <c r="I22" s="10" t="str">
        <f t="shared" ref="I22:I25" si="6">IFERROR((((G22*$P$7)+(H22*$P$13))/$P$20),"0,00")</f>
        <v>0,00</v>
      </c>
      <c r="J22" s="10">
        <f>SUMIFS('[7]TABLO-1'!Y4:Y32873,'[7]TABLO-1'!H4:H32873,"=Dağıtım-OG",'[7]TABLO-1'!J4:J32873,"=Şebeke İşletmecisi",'[7]TABLO-1'!K4:K32873,"=Bildirimli",'[7]TABLO-1'!I4:I32873,"=Uzun",'[7]TABLO-1'!D4:D32873,"=ÇORLU")/P8</f>
        <v>249.88468992590856</v>
      </c>
      <c r="K22" s="10">
        <f>SUMIFS('[7]TABLO-1'!Z4:Z32873,'[7]TABLO-1'!H4:H32873,"=Dağıtım-OG",'[7]TABLO-1'!J4:J32873,"=Şebeke İşletmecisi",'[7]TABLO-1'!K4:K32873,"=Bildirimli",'[7]TABLO-1'!I4:I32873,"=Uzun",'[7]TABLO-1'!D4:D32873,"=ÇORLU")/P14</f>
        <v>1197.9535087858353</v>
      </c>
      <c r="L22" s="10">
        <f t="shared" ref="L22:L25" si="7">IFERROR((((J22*$P$8)+(K22*$P$14))/$P$23),"0,00")</f>
        <v>1069.9567765692675</v>
      </c>
      <c r="M22" s="11">
        <f t="shared" ref="M22:M25" si="8">IFERROR((((F22*$P$17)+(I22*$P$20)+(L22*$P$23))/$P$26),"0,00")</f>
        <v>24.23927299168491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SUMIFS('[7]TABLO-1'!U4:U32873,'[7]TABLO-1'!H4:H32873,"=Dağıtım-OG",'[7]TABLO-1'!J4:J32873,"=Güvenlik",'[7]TABLO-1'!K4:K32873,"=Bildirimli",'[7]TABLO-1'!I4:I32873,"=Uzun",'[7]TABLO-1'!D4:D32873,"=ÇORLU")/P6</f>
        <v>0</v>
      </c>
      <c r="E23" s="10">
        <f>SUMIFS('[7]TABLO-1'!V4:V32873,'[7]TABLO-1'!H4:H32873,"=Dağıtım-OG",'[7]TABLO-1'!J4:J32873,"=Güvenlik",'[7]TABLO-1'!K4:K32873,"=Bildirimli",'[7]TABLO-1'!I4:I32873,"=Uzun",'[7]TABLO-1'!D4:D32873,"=ÇORLU")/P12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SUMIFS('[7]TABLO-1'!W4:W32873,'[7]TABLO-1'!H4:H32873,"=Dağıtım-OG",'[7]TABLO-1'!J4:J32873,"=Güvenlik",'[7]TABLO-1'!K4:K32873,"=Bildirimli",'[7]TABLO-1'!I4:I32873,"=Uzun",'[7]TABLO-1'!D4:D32873,"=ÇORLU")/P7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SUMIFS('[7]TABLO-1'!X4:X32873,'[7]TABLO-1'!H4:H32873,"=Dağıtım-OG",'[7]TABLO-1'!J4:J32873,"=Güvenlik",'[7]TABLO-1'!K4:K32873,"=Bildirimli",'[7]TABLO-1'!I4:I32873,"=Uzun",'[7]TABLO-1'!D4:D32873,"=ÇORLU")/P13</f>
        <v>#DIV/0!</v>
      </c>
      <c r="I23" s="10" t="str">
        <f t="shared" si="6"/>
        <v>0,00</v>
      </c>
      <c r="J23" s="10">
        <f>SUMIFS('[7]TABLO-1'!Y4:Y32873,'[7]TABLO-1'!H4:H32873,"=Dağıtım-OG",'[7]TABLO-1'!J4:J32873,"=Güvenlik",'[7]TABLO-1'!K4:K32873,"=Bildirimli",'[7]TABLO-1'!I4:I32873,"=Uzun",'[7]TABLO-1'!D4:D32873,"=ÇORLU")/P8</f>
        <v>0</v>
      </c>
      <c r="K23" s="10">
        <f>SUMIFS('[7]TABLO-1'!Z4:Z32873,'[7]TABLO-1'!H4:H32873,"=Dağıtım-OG",'[7]TABLO-1'!J4:J32873,"=Güvenlik",'[7]TABLO-1'!K4:K32873,"=Bildirimli",'[7]TABLO-1'!I4:I32873,"=Uzun",'[7]TABLO-1'!D4:D32873,"=ÇORLU")/P14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1274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İşletmecisi",'[7]TABLO-1'!K4:K32873,"=Bildirimli",'[7]TABLO-1'!I4:I32873,"=Uzun",'[7]TABLO-1'!D4:D32873,"=ÇORLU")/P6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İşletmecisi",'[7]TABLO-1'!K4:K32873,"=Bildirimli",'[7]TABLO-1'!I4:I32873,"=Uzun",'[7]TABLO-1'!D4:D32873,"=ÇORLU")/P12</f>
        <v>1.7739493244678777</v>
      </c>
      <c r="F24" s="10">
        <f t="shared" si="5"/>
        <v>1.7587281383814213</v>
      </c>
      <c r="G24" s="12" t="e">
        <f>SUMIFS('[7]TABLO-1'!W4:W32873,'[7]TABLO-1'!H4:H32873,"=Dağıtım-AG",'[7]TABLO-1'!J4:J32873,"=Şebeke İşletmecisi",'[7]TABLO-1'!K4:K32873,"=Bildirimli",'[7]TABLO-1'!I4:I32873,"=Uzun",'[7]TABLO-1'!D4:D32873,"=ÇORLU")/P7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İşletmecisi",'[7]TABLO-1'!K4:K32873,"=Bildirimli",'[7]TABLO-1'!I4:I32873,"=Uzun",'[7]TABLO-1'!D4:D32873,"=ÇORLU")/P13</f>
        <v>#DIV/0!</v>
      </c>
      <c r="I24" s="10" t="str">
        <f t="shared" si="6"/>
        <v>0,00</v>
      </c>
      <c r="J24" s="12">
        <f>SUMIFS('[7]TABLO-1'!Y4:Y32873,'[7]TABLO-1'!H4:H32873,"=Dağıtım-AG",'[7]TABLO-1'!J4:J32873,"=Şebeke İşletmecisi",'[7]TABLO-1'!K4:K32873,"=Bildirimli",'[7]TABLO-1'!I4:I32873,"=Uzun",'[7]TABLO-1'!D4:D32873,"=ÇORLU")/P8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İşletmecisi",'[7]TABLO-1'!K4:K32873,"=Bildirimli",'[7]TABLO-1'!I4:I32873,"=Uzun",'[7]TABLO-1'!D4:D32873,"=ÇORLU")/P14</f>
        <v>0</v>
      </c>
      <c r="L24" s="10">
        <f t="shared" si="7"/>
        <v>0</v>
      </c>
      <c r="M24" s="11">
        <f t="shared" si="8"/>
        <v>1.7452831566633522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SUMIFS('[7]TABLO-1'!U4:U32873,'[7]TABLO-1'!H4:H32873,"=Dağıtım-AG",'[7]TABLO-1'!J4:J32873,"=Güvenlik",'[7]TABLO-1'!K4:K32873,"=Bildirimli",'[7]TABLO-1'!I4:I32873,"=Uzun",'[7]TABLO-1'!D4:D32873,"=ÇORLU")/P6</f>
        <v>0</v>
      </c>
      <c r="E25" s="10">
        <f>SUMIFS('[7]TABLO-1'!V4:V32873,'[7]TABLO-1'!H4:H32873,"=Dağıtım-AG",'[7]TABLO-1'!J4:J32873,"=Güvenlik",'[7]TABLO-1'!K4:K32873,"=Bildirimli",'[7]TABLO-1'!I4:I32873,"=Uzun",'[7]TABLO-1'!D4:D32873,"=ÇORLU")/P12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SUMIFS('[7]TABLO-1'!W4:W32873,'[7]TABLO-1'!H4:H32873,"=Dağıtım-AG",'[7]TABLO-1'!J4:J32873,"=Güvenlik",'[7]TABLO-1'!K4:K32873,"=Bildirimli",'[7]TABLO-1'!I4:I32873,"=Uzun",'[7]TABLO-1'!D4:D32873,"=ÇORLU")/P7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SUMIFS('[7]TABLO-1'!X4:X32873,'[7]TABLO-1'!H4:H32873,"=Dağıtım-AG",'[7]TABLO-1'!J4:J32873,"=Güvenlik",'[7]TABLO-1'!K4:K32873,"=Bildirimli",'[7]TABLO-1'!I4:I32873,"=Uzun",'[7]TABLO-1'!D4:D32873,"=ÇORLU")/P13</f>
        <v>#DIV/0!</v>
      </c>
      <c r="I25" s="10" t="str">
        <f t="shared" si="6"/>
        <v>0,00</v>
      </c>
      <c r="J25" s="12">
        <f>SUMIFS('[7]TABLO-1'!Y4:Y32873,'[7]TABLO-1'!H4:H32873,"=Dağıtım-AG",'[7]TABLO-1'!J4:J32873,"=Güvenlik",'[7]TABLO-1'!K4:K32873,"=Bildirimli",'[7]TABLO-1'!I4:I32873,"=Uzun",'[7]TABLO-1'!D4:D32873,"=ÇORLU")/P8</f>
        <v>0</v>
      </c>
      <c r="K25" s="10">
        <f>SUMIFS('[7]TABLO-1'!Z4:Z32873,'[7]TABLO-1'!H4:H32873,"=Dağıtım-AG",'[7]TABLO-1'!J4:J32873,"=Güvenlik",'[7]TABLO-1'!K4:K32873,"=Bildirimli",'[7]TABLO-1'!I4:I32873,"=Uzun",'[7]TABLO-1'!D4:D32873,"=ÇORLU")/P14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64.2297275085716</v>
      </c>
      <c r="E26" s="10">
        <f t="shared" ref="E26:M26" si="9">SUM(E21:E25)</f>
        <v>17.541598153151877</v>
      </c>
      <c r="F26" s="10">
        <f t="shared" si="9"/>
        <v>17.942200749373487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>
        <f t="shared" si="9"/>
        <v>249.88468992590856</v>
      </c>
      <c r="K26" s="10">
        <f t="shared" si="9"/>
        <v>1197.9535087858353</v>
      </c>
      <c r="L26" s="10">
        <f t="shared" si="9"/>
        <v>1069.9567765692675</v>
      </c>
      <c r="M26" s="11">
        <f t="shared" si="9"/>
        <v>25.984556148348261</v>
      </c>
      <c r="O26" s="43" t="s">
        <v>22</v>
      </c>
      <c r="P26" s="44">
        <f>P20+P17+P23</f>
        <v>166651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İşletmecisi",'[7]TABLO-1'!K4:K32873,"=Bildirimsiz",'[7]TABLO-1'!I4:I32873,"=Uzun",'[7]TABLO-1'!D4:D32873,"=ÇORLU")/P6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İşletmecisi",'[7]TABLO-1'!K4:K32873,"=Bildirimsiz",'[7]TABLO-1'!I4:I32873,"=Uzun",'[7]TABLO-1'!D4:D32873,"=ÇORLU")/P12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İşletmecisi",'[7]TABLO-1'!K4:K32873,"=Bildirimsiz",'[7]TABLO-1'!I4:I32873,"=Uzun",'[7]TABLO-1'!D4:D32873,"=ÇORLU")/P7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İşletmecisi",'[7]TABLO-1'!K4:K32873,"=Bildirimsiz",'[7]TABLO-1'!I4:I32873,"=Uzun",'[7]TABLO-1'!D4:D32873,"=ÇORLU")/P13</f>
        <v>#DIV/0!</v>
      </c>
      <c r="I31" s="10" t="str">
        <f>IFERROR((((G31*$P$7)+(H31*$P$13))/$P$20),"0,00")</f>
        <v>0,00</v>
      </c>
      <c r="J31" s="10">
        <f>SUMIFS('[7]TABLO-1'!S4:S32873,'[7]TABLO-1'!H4:H32873,"=İletim",'[7]TABLO-1'!J4:J32873,"=Şebeke İşletmecisi",'[7]TABLO-1'!K4:K32873,"=Bildirimsiz",'[7]TABLO-1'!I4:I32873,"=Uzun",'[7]TABLO-1'!D4:D32873,"=ÇORLU")/P8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İşletmecisi",'[7]TABLO-1'!K4:K32873,"=bildirimsiz",'[7]TABLO-1'!I4:I32873,"=Uzun",'[7]TABLO-1'!D4:D32873,"=ÇORLU")/P14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Sebep",'[7]TABLO-1'!K4:K32873,"=Bildirimsiz",'[7]TABLO-1'!I4:I32873,"=Uzun",'[7]TABLO-1'!D4:D32873,"=ÇORLU")/P6</f>
        <v>0</v>
      </c>
      <c r="E32" s="10">
        <f>SUMIFS('[7]TABLO-1'!P4:P32873,'[7]TABLO-1'!H4:H32873,"=İletim",'[7]TABLO-1'!J4:J32873,"=Mücbir Sebep",'[7]TABLO-1'!K4:K32873,"=Bildirimsiz",'[7]TABLO-1'!I4:I32873,"=Uzun",'[7]TABLO-1'!D4:D32873,"=ÇORLU")/P12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Sebep",'[7]TABLO-1'!K4:K32873,"=Bildirimsiz",'[7]TABLO-1'!I4:I32873,"=Uzun",'[7]TABLO-1'!D4:D32873,"=ÇORLU")/P7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Sebep",'[7]TABLO-1'!K4:K32873,"=Bildirimsiz",'[7]TABLO-1'!I4:I32873,"=Uzun",'[7]TABLO-1'!D4:D32873,"=ÇORLU")/P13</f>
        <v>#DIV/0!</v>
      </c>
      <c r="I32" s="10" t="str">
        <f t="shared" ref="I32:I40" si="11">IFERROR((((G32*$P$7)+(H32*$P$13))/$P$20),"0,00")</f>
        <v>0,00</v>
      </c>
      <c r="J32" s="10">
        <f>SUMIFS('[7]TABLO-1'!S4:S32873,'[7]TABLO-1'!H4:H32873,"=İletim",'[7]TABLO-1'!J4:J32873,"=Mücbir Sebep",'[7]TABLO-1'!K4:K32873,"=Bildirimsiz",'[7]TABLO-1'!I4:I32873,"=Uzun",'[7]TABLO-1'!D4:D32873,"=ÇORLU")/P8</f>
        <v>0</v>
      </c>
      <c r="K32" s="10">
        <f>SUMIFS('[7]TABLO-1'!T4:T32873,'[7]TABLO-1'!H4:H32873,"=İletim",'[7]TABLO-1'!J4:J32873,"=Mücbir Sebep",'[7]TABLO-1'!K4:K32873,"=bildirimsiz",'[7]TABLO-1'!I4:I32873,"=Uzun",'[7]TABLO-1'!D4:D32873,"=ÇORLU")/P14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İşletmecisi",'[7]TABLO-1'!K4:K32873,"=Bildirimsiz",'[7]TABLO-1'!I4:I32873,"=Uzun",'[7]TABLO-1'!D4:D32873,"=ÇORLU")/P6</f>
        <v>0.2339675828047921</v>
      </c>
      <c r="E33" s="10">
        <f>SUMIFS('[7]TABLO-1'!P4:P32873,'[7]TABLO-1'!H4:H32873,"=Dağıtım-OG",'[7]TABLO-1'!J4:J32873,"=Şebeke İşletmecisi",'[7]TABLO-1'!K4:K32873,"=Bildirimsiz",'[7]TABLO-1'!I4:I32873,"=Uzun",'[7]TABLO-1'!D4:D32873,"=ÇORLU")/P12</f>
        <v>0.2516315153880872</v>
      </c>
      <c r="F33" s="10">
        <f t="shared" si="10"/>
        <v>0.25147995186755112</v>
      </c>
      <c r="G33" s="10" t="e">
        <f>SUMIFS('[7]TABLO-1'!Q4:Q32873,'[7]TABLO-1'!H4:H32873,"=Dağıtım-OG",'[7]TABLO-1'!J4:J32873,"=Şebeke İşletmecisi",'[7]TABLO-1'!K4:K32873,"=Bildirimsiz",'[7]TABLO-1'!I4:I32873,"=Uzun",'[7]TABLO-1'!D4:D32873,"=ÇORLU")/P7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İşletmecisi",'[7]TABLO-1'!K4:K32873,"=Bildirimsiz",'[7]TABLO-1'!I4:I32873,"=Uzun",'[7]TABLO-1'!D4:D32873,"=ÇORLU")/P13</f>
        <v>#DIV/0!</v>
      </c>
      <c r="I33" s="10" t="str">
        <f t="shared" si="11"/>
        <v>0,00</v>
      </c>
      <c r="J33" s="10">
        <f>SUMIFS('[7]TABLO-1'!S4:S32873,'[7]TABLO-1'!H4:H32873,"=Dağıtım-OG",'[7]TABLO-1'!J4:J32873,"=Şebeke İşletmecisi",'[7]TABLO-1'!K4:K32873,"=Bildirimsiz",'[7]TABLO-1'!I4:I32873,"=Uzun",'[7]TABLO-1'!D4:D32873,"=ÇORLU")/P8</f>
        <v>0.83139534883720934</v>
      </c>
      <c r="K33" s="10">
        <f>SUMIFS('[7]TABLO-1'!T4:T32873,'[7]TABLO-1'!H4:H32873,"=Dağıtım-OG",'[7]TABLO-1'!J4:J32873,"=Şebeke İşletmecisi",'[7]TABLO-1'!K4:K32873,"=bildirimsiz",'[7]TABLO-1'!I4:I32873,"=Uzun",'[7]TABLO-1'!D4:D32873,"=ÇORLU")/P14</f>
        <v>7.7431941923774952</v>
      </c>
      <c r="L33" s="10">
        <f t="shared" si="12"/>
        <v>6.8100470957613819</v>
      </c>
      <c r="M33" s="11">
        <f t="shared" si="13"/>
        <v>0.30161835212509974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SUMIFS('[7]TABLO-1'!O4:O32873,'[7]TABLO-1'!H4:H32873,"=Dağıtım-OG",'[7]TABLO-1'!J4:J32873,"=Dışsal",'[7]TABLO-1'!K4:K32873,"=Bildirimsiz",'[7]TABLO-1'!I4:I32873,"=Uzun",'[7]TABLO-1'!D4:D32873,"=ÇORLU")/P6</f>
        <v>2.1846370683579985E-2</v>
      </c>
      <c r="E34" s="10">
        <f>SUMIFS('[7]TABLO-1'!P4:P32873,'[7]TABLO-1'!H4:H32873,"=Dağıtım-OG",'[7]TABLO-1'!J4:J32873,"=Dışsal",'[7]TABLO-1'!K4:K32873,"=Bildirimsiz",'[7]TABLO-1'!I4:I32873,"=Uzun",'[7]TABLO-1'!D4:D32873,"=ÇORLU")/P12</f>
        <v>1.1021115163639468E-2</v>
      </c>
      <c r="F34" s="10">
        <f t="shared" si="10"/>
        <v>1.1114000133029382E-2</v>
      </c>
      <c r="G34" s="10" t="e">
        <f>SUMIFS('[7]TABLO-1'!Q4:Q32873,'[7]TABLO-1'!H4:H32873,"=Dağıtım-OG",'[7]TABLO-1'!J4:J32873,"=Dışsal",'[7]TABLO-1'!K4:K32873,"=Bildirimsiz",'[7]TABLO-1'!I4:I32873,"=Uzun",'[7]TABLO-1'!D4:D32873,"=ÇORLU")/P7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SUMIFS('[7]TABLO-1'!R4:R32873,'[7]TABLO-1'!H4:H32873,"=Dağıtım-OG",'[7]TABLO-1'!J4:J32873,"=Dışsal",'[7]TABLO-1'!K4:K32873,"=Bildirimsiz",'[7]TABLO-1'!I4:I32873,"=Uzun",'[7]TABLO-1'!D4:D32873,"=ÇORLU")/P13</f>
        <v>#DIV/0!</v>
      </c>
      <c r="I34" s="10" t="str">
        <f t="shared" si="11"/>
        <v>0,00</v>
      </c>
      <c r="J34" s="10">
        <f>SUMIFS('[7]TABLO-1'!S4:S32873,'[7]TABLO-1'!H4:H32873,"=Dağıtım-OG",'[7]TABLO-1'!J4:J32873,"=Dışsal",'[7]TABLO-1'!K4:K32873,"=Bildirimsiz",'[7]TABLO-1'!I4:I32873,"=Uzun",'[7]TABLO-1'!D4:D32873,"=ÇORLU")/P8</f>
        <v>0.12209302325581395</v>
      </c>
      <c r="K34" s="10">
        <f>SUMIFS('[7]TABLO-1'!T4:T32873,'[7]TABLO-1'!H4:H32873,"=Dağıtım-OG",'[7]TABLO-1'!J4:J32873,"=Dışsal",'[7]TABLO-1'!K4:K32873,"=bildirimsiz",'[7]TABLO-1'!I4:I32873,"=Uzun",'[7]TABLO-1'!D4:D32873,"=ÇORLU")/P14</f>
        <v>0</v>
      </c>
      <c r="L34" s="10">
        <f t="shared" si="12"/>
        <v>1.6483516483516484E-2</v>
      </c>
      <c r="M34" s="11">
        <f t="shared" si="13"/>
        <v>1.1155048574566008E-2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Sebep",'[7]TABLO-1'!K4:K32873,"=Bildirimsiz",'[7]TABLO-1'!I4:I32873,"=Uzun",'[7]TABLO-1'!D4:D32873,"=ÇORLU")/P6</f>
        <v>0</v>
      </c>
      <c r="E35" s="10">
        <f>SUMIFS('[7]TABLO-1'!P4:P32873,'[7]TABLO-1'!H4:H32873,"=Dağıtım-OG",'[7]TABLO-1'!J4:J32873,"=Mücbir Sebep",'[7]TABLO-1'!K4:K32873,"=Bildirimsiz",'[7]TABLO-1'!I4:I32873,"=Uzun",'[7]TABLO-1'!D4:D32873,"=ÇORLU")/P12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Sebep",'[7]TABLO-1'!K4:K32873,"=Bildirimsiz",'[7]TABLO-1'!I4:I32873,"=Uzun",'[7]TABLO-1'!D4:D32873,"=ÇORLU")/P7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Sebep",'[7]TABLO-1'!K4:K32873,"=Bildirimsiz",'[7]TABLO-1'!I4:I32873,"=Uzun",'[7]TABLO-1'!D4:D32873,"=ÇORLU")/P13</f>
        <v>#DIV/0!</v>
      </c>
      <c r="I35" s="10" t="str">
        <f t="shared" si="11"/>
        <v>0,00</v>
      </c>
      <c r="J35" s="10">
        <f>SUMIFS('[7]TABLO-1'!S4:S32873,'[7]TABLO-1'!H4:H32873,"=Dağıtım-OG",'[7]TABLO-1'!J4:J32873,"=Mücbir Sebep",'[7]TABLO-1'!K4:K32873,"=Bildirimsiz",'[7]TABLO-1'!I4:I32873,"=Uzun",'[7]TABLO-1'!D4:D32873,"=ÇORLU")/P8</f>
        <v>0</v>
      </c>
      <c r="K35" s="10">
        <f>SUMIFS('[7]TABLO-1'!T4:T32873,'[7]TABLO-1'!H4:H32873,"=Dağıtım-OG",'[7]TABLO-1'!J4:J32873,"=Mücbir Sebep",'[7]TABLO-1'!K4:K32873,"=bildirimsiz",'[7]TABLO-1'!I4:I32873,"=Uzun",'[7]TABLO-1'!D4:D32873,"=ÇORLU")/P14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SUMIFS('[7]TABLO-1'!O4:O32873,'[7]TABLO-1'!H4:H32873,"=Dağıtım-OG",'[7]TABLO-1'!J4:J32873,"=Güvenlik",'[7]TABLO-1'!K4:K32873,"=Bildirimsiz",'[7]TABLO-1'!I4:I32873,"=Uzun",'[7]TABLO-1'!D4:D32873,"=ÇORLU")/P6</f>
        <v>0</v>
      </c>
      <c r="E36" s="10">
        <f>SUMIFS('[7]TABLO-1'!P4:P32873,'[7]TABLO-1'!H4:H32873,"=Dağıtım-OG",'[7]TABLO-1'!J4:J32873,"=Güvenlik",'[7]TABLO-1'!K4:K32873,"=Bildirimsiz",'[7]TABLO-1'!I4:I32873,"=Uzun",'[7]TABLO-1'!D4:D32873,"=ÇORLU")/P12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SUMIFS('[7]TABLO-1'!Q4:Q32873,'[7]TABLO-1'!H4:H32873,"=Dağıtım-OG",'[7]TABLO-1'!J4:J32873,"=Güvenlik",'[7]TABLO-1'!K4:K32873,"=Bildirimsiz",'[7]TABLO-1'!I4:I32873,"=Uzun",'[7]TABLO-1'!D4:D32873,"=ÇORLU")/P7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SUMIFS('[7]TABLO-1'!R4:R32873,'[7]TABLO-1'!H4:H32873,"=Dağıtım-OG",'[7]TABLO-1'!J4:J32873,"=Güvenlik",'[7]TABLO-1'!K4:K32873,"=Bildirimsiz",'[7]TABLO-1'!I4:I32873,"=Uzun",'[7]TABLO-1'!D4:D32873,"=ÇORLU")/P13</f>
        <v>#DIV/0!</v>
      </c>
      <c r="I36" s="10" t="str">
        <f t="shared" si="11"/>
        <v>0,00</v>
      </c>
      <c r="J36" s="10">
        <f>SUMIFS('[7]TABLO-1'!S4:S32873,'[7]TABLO-1'!H4:H32873,"=Dağıtım-OG",'[7]TABLO-1'!J4:J32873,"=Güvenlik",'[7]TABLO-1'!K4:K32873,"=Bildirimsiz",'[7]TABLO-1'!I4:I32873,"=Uzun",'[7]TABLO-1'!D4:D32873,"=ÇORLU")/P8</f>
        <v>0</v>
      </c>
      <c r="K36" s="10">
        <f>SUMIFS('[7]TABLO-1'!T4:T32873,'[7]TABLO-1'!H4:H32873,"=Dağıtım-OG",'[7]TABLO-1'!J4:J32873,"=Güvenlik",'[7]TABLO-1'!K4:K32873,"=bildirimsiz",'[7]TABLO-1'!I4:I32873,"=Uzun",'[7]TABLO-1'!D4:D32873,"=ÇORLU")/P14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İşletmecisi",'[7]TABLO-1'!K4:K32873,"=Bildirimsiz",'[7]TABLO-1'!I4:I32873,"=Uzun",'[7]TABLO-1'!D4:D32873,"=ÇORLU")/P6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İşletmecisi",'[7]TABLO-1'!K4:K32873,"=Bildirimsiz",'[7]TABLO-1'!I4:I32873,"=Uzun",'[7]TABLO-1'!D4:D32873,"=ÇORLU")/P12</f>
        <v>3.4405152539064884E-2</v>
      </c>
      <c r="F37" s="10">
        <f t="shared" si="10"/>
        <v>3.4109942736898116E-2</v>
      </c>
      <c r="G37" s="12" t="e">
        <f>SUMIFS('[7]TABLO-1'!Q4:Q32873,'[7]TABLO-1'!H4:H32873,"=Dağıtım-AG",'[7]TABLO-1'!J4:J32873,"=Şebeke İşletmecisi",'[7]TABLO-1'!K4:K32873,"=Bildirimsiz",'[7]TABLO-1'!I4:I32873,"=Uzun",'[7]TABLO-1'!D4:D32873,"=ÇORLU")/P7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İşletmecisi",'[7]TABLO-1'!K4:K32873,"=Bildirimsiz",'[7]TABLO-1'!I4:I32873,"=Uzun",'[7]TABLO-1'!D4:D32873,"=ÇORLU")/P13</f>
        <v>#DIV/0!</v>
      </c>
      <c r="I37" s="10" t="str">
        <f t="shared" si="11"/>
        <v>0,00</v>
      </c>
      <c r="J37" s="12">
        <f>SUMIFS('[7]TABLO-1'!S4:S32873,'[7]TABLO-1'!H4:H32873,"=Dağıtım-AG",'[7]TABLO-1'!J4:J32873,"=Şebeke İşletmecisi",'[7]TABLO-1'!K4:K32873,"=Bildirimsiz",'[7]TABLO-1'!I4:I32873,"=Uzun",'[7]TABLO-1'!D4:D32873,"=ÇORLU")/P8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İşletmecisi",'[7]TABLO-1'!K4:K32873,"=bildirimsiz",'[7]TABLO-1'!I4:I32873,"=Uzun",'[7]TABLO-1'!D4:D32873,"=ÇORLU")/P14</f>
        <v>0.67967332123411983</v>
      </c>
      <c r="L37" s="10">
        <f t="shared" si="12"/>
        <v>0.58791208791208793</v>
      </c>
      <c r="M37" s="11">
        <f t="shared" si="13"/>
        <v>3.8343604298804089E-2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SUMIFS('[7]TABLO-1'!O4:O32873,'[7]TABLO-1'!H4:H32873,"=Dağıtım-AG",'[7]TABLO-1'!J4:J32873,"=Dışsal",'[7]TABLO-1'!K4:K32873,"=Bildirimsiz",'[7]TABLO-1'!I4:I32873,"=Uzun",'[7]TABLO-1'!D4:D32873,"=ÇORLU")/P6</f>
        <v>0</v>
      </c>
      <c r="E38" s="10">
        <f>SUMIFS('[7]TABLO-1'!P4:P32873,'[7]TABLO-1'!H4:H32873,"=Dağıtım-AG",'[7]TABLO-1'!J4:J32873,"=Dışsal",'[7]TABLO-1'!K4:K32873,"=Bildirimsiz",'[7]TABLO-1'!I4:I32873,"=Uzun",'[7]TABLO-1'!D4:D32873,"=ÇORLU")/P12</f>
        <v>2.8543895387843229E-3</v>
      </c>
      <c r="F38" s="10">
        <f t="shared" si="10"/>
        <v>2.8298977487800601E-3</v>
      </c>
      <c r="G38" s="12" t="e">
        <f>SUMIFS('[7]TABLO-1'!Q4:Q32873,'[7]TABLO-1'!H4:H32873,"=Dağıtım-AG",'[7]TABLO-1'!J4:J32873,"=Dışsal",'[7]TABLO-1'!K4:K32873,"=Bildirimsiz",'[7]TABLO-1'!I4:I32873,"=Uzun",'[7]TABLO-1'!D4:D32873,"=ÇORLU")/P7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SUMIFS('[7]TABLO-1'!R4:R32873,'[7]TABLO-1'!H4:H32873,"=Dağıtım-AG",'[7]TABLO-1'!J4:J32873,"=Dışsal",'[7]TABLO-1'!K4:K32873,"=Bildirimsiz",'[7]TABLO-1'!I4:I32873,"=Uzun",'[7]TABLO-1'!D4:D32873,"=ÇORLU")/P13</f>
        <v>#DIV/0!</v>
      </c>
      <c r="I38" s="10" t="str">
        <f t="shared" si="11"/>
        <v>0,00</v>
      </c>
      <c r="J38" s="12">
        <f>SUMIFS('[7]TABLO-1'!S4:S32873,'[7]TABLO-1'!H4:H32873,"=Dağıtım-AG",'[7]TABLO-1'!J4:J32873,"=Dışsal",'[7]TABLO-1'!K4:K32873,"=Bildirimsiz",'[7]TABLO-1'!I4:I32873,"=Uzun",'[7]TABLO-1'!D4:D32873,"=ÇORLU")/P8</f>
        <v>0</v>
      </c>
      <c r="K38" s="10">
        <f>SUMIFS('[7]TABLO-1'!T4:T32873,'[7]TABLO-1'!H4:H32873,"=Dağıtım-AG",'[7]TABLO-1'!J4:J32873,"=Dışsal",'[7]TABLO-1'!K4:K32873,"=bildirimsiz",'[7]TABLO-1'!I4:I32873,"=Uzun",'[7]TABLO-1'!D4:D32873,"=ÇORLU")/P14</f>
        <v>2.9945553539019964E-2</v>
      </c>
      <c r="L38" s="10">
        <f t="shared" si="12"/>
        <v>2.5902668759811617E-2</v>
      </c>
      <c r="M38" s="11">
        <f t="shared" si="13"/>
        <v>3.0062825905635129E-3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Sebep",'[7]TABLO-1'!K4:K32873,"=Bildirimsiz",'[7]TABLO-1'!I4:I32873,"=Uzun",'[7]TABLO-1'!D4:D32873,"=ÇORLU")/P6</f>
        <v>0</v>
      </c>
      <c r="E39" s="10">
        <f>SUMIFS('[7]TABLO-1'!P4:P32873,'[7]TABLO-1'!H4:H32873,"=Dağıtım-AG",'[7]TABLO-1'!J4:J32873,"=Mücbir Sebep",'[7]TABLO-1'!K4:K32873,"=Bildirimsiz",'[7]TABLO-1'!I4:I32873,"=Uzun",'[7]TABLO-1'!D4:D32873,"=ÇORLU")/P12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Sebep",'[7]TABLO-1'!K4:K32873,"=Bildirimsiz",'[7]TABLO-1'!I4:I32873,"=Uzun",'[7]TABLO-1'!D4:D32873,"=ÇORLU")/P7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Sebep",'[7]TABLO-1'!K4:K32873,"=Bildirimsiz",'[7]TABLO-1'!I4:I32873,"=Uzun",'[7]TABLO-1'!D4:D32873,"=ÇORLU")/P13</f>
        <v>#DIV/0!</v>
      </c>
      <c r="I39" s="10" t="str">
        <f t="shared" si="11"/>
        <v>0,00</v>
      </c>
      <c r="J39" s="12">
        <f>SUMIFS('[7]TABLO-1'!S4:S32873,'[7]TABLO-1'!H4:H32873,"=Dağıtım-AG",'[7]TABLO-1'!J4:J32873,"=Mücbir Sebep",'[7]TABLO-1'!K4:K32873,"=Bildirimsiz",'[7]TABLO-1'!I4:I32873,"=Uzun",'[7]TABLO-1'!D4:D32873,"=ÇORLU")/P8</f>
        <v>0</v>
      </c>
      <c r="K39" s="10">
        <f>SUMIFS('[7]TABLO-1'!T4:T32873,'[7]TABLO-1'!H4:H32873,"=Dağıtım-AG",'[7]TABLO-1'!J4:J32873,"=Mücbir Sebep",'[7]TABLO-1'!K4:K32873,"=bildirimsiz",'[7]TABLO-1'!I4:I32873,"=Uzun",'[7]TABLO-1'!D4:D32873,"=ÇORLU")/P14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SUMIFS('[7]TABLO-1'!O4:O32873,'[7]TABLO-1'!H4:H32873,"=Dağıtım-AG",'[7]TABLO-1'!J4:J32873,"=Güvenlik",'[7]TABLO-1'!K4:K32873,"=Bildirimsiz",'[7]TABLO-1'!I4:I32873,"=Uzun",'[7]TABLO-1'!D4:D32873,"=ÇORLU")/P6</f>
        <v>0</v>
      </c>
      <c r="E40" s="10">
        <f>SUMIFS('[7]TABLO-1'!P4:P32873,'[7]TABLO-1'!H4:H32873,"=Dağıtım-AG",'[7]TABLO-1'!J4:J32873,"=Güvenlik",'[7]TABLO-1'!K4:K32873,"=Bildirimsiz",'[7]TABLO-1'!I4:I32873,"=Uzun",'[7]TABLO-1'!D4:D32873,"=ÇORLU")/P12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SUMIFS('[7]TABLO-1'!Q4:Q32873,'[7]TABLO-1'!H4:H32873,"=Dağıtım-AG",'[7]TABLO-1'!J4:J32873,"=Güvenlik",'[7]TABLO-1'!K4:K32873,"=Bildirimsiz",'[7]TABLO-1'!I4:I32873,"=Uzun",'[7]TABLO-1'!D4:D32873,"=ÇORLU")/P7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SUMIFS('[7]TABLO-1'!R4:R32873,'[7]TABLO-1'!H4:H32873,"=Dağıtım-AG",'[7]TABLO-1'!J4:J32873,"=Güvenlik",'[7]TABLO-1'!K4:K32873,"=Bildirimsiz",'[7]TABLO-1'!I4:I32873,"=Uzun",'[7]TABLO-1'!D4:D32873,"=ÇORLU")/P13</f>
        <v>#DIV/0!</v>
      </c>
      <c r="I40" s="10" t="str">
        <f t="shared" si="11"/>
        <v>0,00</v>
      </c>
      <c r="J40" s="12">
        <f>SUMIFS('[7]TABLO-1'!S4:S32873,'[7]TABLO-1'!H4:H32873,"=Dağıtım-AG",'[7]TABLO-1'!J4:J32873,"=Güvenlik",'[7]TABLO-1'!K4:K32873,"=Bildirimsiz",'[7]TABLO-1'!I4:I32873,"=Uzun",'[7]TABLO-1'!D4:D32873,"=ÇORLU")/P8</f>
        <v>0</v>
      </c>
      <c r="K40" s="10">
        <f>SUMIFS('[7]TABLO-1'!T4:T32873,'[7]TABLO-1'!H4:H32873,"=Dağıtım-AG",'[7]TABLO-1'!J4:J32873,"=Güvenlik",'[7]TABLO-1'!K4:K32873,"=bildirimsiz",'[7]TABLO-1'!I4:I32873,"=Uzun",'[7]TABLO-1'!D4:D32873,"=ÇORLU")/P14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0.2558139534883721</v>
      </c>
      <c r="E41" s="10">
        <f t="shared" ref="E41:M41" si="14">SUM(E31:E40)</f>
        <v>0.29991217262957587</v>
      </c>
      <c r="F41" s="10">
        <f t="shared" si="14"/>
        <v>0.29953379248625867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>
        <f t="shared" si="14"/>
        <v>0.95348837209302328</v>
      </c>
      <c r="K41" s="10">
        <f t="shared" si="14"/>
        <v>8.4528130671506361</v>
      </c>
      <c r="L41" s="10">
        <f t="shared" si="14"/>
        <v>7.4403453689167973</v>
      </c>
      <c r="M41" s="10">
        <f t="shared" si="14"/>
        <v>0.35412328758903333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İşletmecisi",'[7]TABLO-1'!K4:K32873,"=Bildirimli",'[7]TABLO-1'!I4:I32873,"=Uzun",'[7]TABLO-1'!D4:D32873,"=ÇORLU")/P6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İşletmecisi",'[7]TABLO-1'!K4:K32873,"=Bildirimli",'[7]TABLO-1'!I4:I32873,"=Uzun",'[7]TABLO-1'!D4:D32873,"=ÇORLU")/P12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İşletmecisi",'[7]TABLO-1'!K4:K32873,"=Bildirimli",'[7]TABLO-1'!I4:I32873,"=Uzun",'[7]TABLO-1'!D4:D32873,"=ÇORLU")/P7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İşletmecisi",'[7]TABLO-1'!K4:K32873,"=Bildirimli",'[7]TABLO-1'!I4:I32873,"=Uzun",'[7]TABLO-1'!D4:D32873,"=ÇORLU")/P13</f>
        <v>#DIV/0!</v>
      </c>
      <c r="I46" s="10" t="str">
        <f>IFERROR((((G46*$P$7)+(H46*$P$13))/$P$20),"0,00")</f>
        <v>0,00</v>
      </c>
      <c r="J46" s="10">
        <f>SUMIFS('[7]TABLO-1'!S4:S32873,'[7]TABLO-1'!H4:H32873,"=İletim",'[7]TABLO-1'!J4:J32873,"=Şebeke İşletmecisi",'[7]TABLO-1'!K4:K32873,"=Bildirimli",'[7]TABLO-1'!I4:I32873,"=Uzun",'[7]TABLO-1'!D4:D32873,"=ÇORLU")/P8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İşletmecisi",'[7]TABLO-1'!K4:K32873,"=bildirimli",'[7]TABLO-1'!I4:I32873,"=Uzun",'[7]TABLO-1'!D4:D32873,"=ÇORLU")/P14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İşletmecisi",'[7]TABLO-1'!K4:K32873,"=Bildirimli",'[7]TABLO-1'!I4:I32873,"=Uzun",'[7]TABLO-1'!D4:D32873,"=ÇORLU")/P6</f>
        <v>0.49682875264270615</v>
      </c>
      <c r="E47" s="10">
        <f>SUMIFS('[7]TABLO-1'!P4:P32873,'[7]TABLO-1'!H4:H32873,"=Dağıtım-OG",'[7]TABLO-1'!J4:J32873,"=Şebeke İşletmecisi",'[7]TABLO-1'!K4:K32873,"=Bildirimli",'[7]TABLO-1'!I4:I32873,"=Uzun",'[7]TABLO-1'!D4:D32873,"=ÇORLU")/P12</f>
        <v>0.13047853718635261</v>
      </c>
      <c r="F47" s="10">
        <f t="shared" ref="F47:F50" si="15">IFERROR((((D47*$P$6)+(E47*$P$12))/$P$17),"0,00")</f>
        <v>0.1336219667789354</v>
      </c>
      <c r="G47" s="10" t="e">
        <f>SUMIFS('[7]TABLO-1'!Q4:Q32873,'[7]TABLO-1'!H4:H32873,"=Dağıtım-OG",'[7]TABLO-1'!J4:J32873,"=Şebeke İşletmecisi",'[7]TABLO-1'!K4:K32873,"=Bildirimli",'[7]TABLO-1'!I4:I32873,"=Uzun",'[7]TABLO-1'!D4:D32873,"=ÇORLU")/P7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İşletmecisi",'[7]TABLO-1'!K4:K32873,"=Bildirimli",'[7]TABLO-1'!I4:I32873,"=Uzun",'[7]TABLO-1'!D4:D32873,"=ÇORLU")/P13</f>
        <v>#DIV/0!</v>
      </c>
      <c r="I47" s="10" t="str">
        <f t="shared" ref="I47:I50" si="16">IFERROR((((G47*$P$7)+(H47*$P$13))/$P$20),"0,00")</f>
        <v>0,00</v>
      </c>
      <c r="J47" s="10">
        <f>SUMIFS('[7]TABLO-1'!S4:S32873,'[7]TABLO-1'!H4:H32873,"=Dağıtım-OG",'[7]TABLO-1'!J4:J32873,"=Şebeke İşletmecisi",'[7]TABLO-1'!K4:K32873,"=Bildirimli",'[7]TABLO-1'!I4:I32873,"=Uzun",'[7]TABLO-1'!D4:D32873,"=ÇORLU")/P8</f>
        <v>1.6744186046511629</v>
      </c>
      <c r="K47" s="10">
        <f>SUMIFS('[7]TABLO-1'!T4:T32873,'[7]TABLO-1'!H4:H32873,"=Dağıtım-OG",'[7]TABLO-1'!J4:J32873,"=Şebeke İşletmecisi",'[7]TABLO-1'!K4:K32873,"=bildirimli",'[7]TABLO-1'!I4:I32873,"=Uzun",'[7]TABLO-1'!D4:D32873,"=ÇORLU")/P14</f>
        <v>9.2640653357531768</v>
      </c>
      <c r="L47" s="10">
        <f t="shared" ref="L47:L50" si="17">IFERROR((((J47*$P$8)+(K47*$P$14))/$P$23),"0,00")</f>
        <v>8.2394034536891674</v>
      </c>
      <c r="M47" s="11">
        <f t="shared" ref="M47:M50" si="18">IFERROR((((F47*$P$17)+(I47*$P$20)+(L47*$P$23))/$P$26),"0,00")</f>
        <v>0.19558838530821898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SUMIFS('[7]TABLO-1'!O4:O32873,'[7]TABLO-1'!H4:H32873,"=Dağıtım-OG",'[7]TABLO-1'!J4:J32873,"=Güvenlik",'[7]TABLO-1'!K4:K32873,"=Bildirimli",'[7]TABLO-1'!I4:I32873,"=Uzun",'[7]TABLO-1'!D4:D32873,"=ÇORLU")/P6</f>
        <v>0</v>
      </c>
      <c r="E48" s="10">
        <f>SUMIFS('[7]TABLO-1'!P4:P32873,'[7]TABLO-1'!H4:H32873,"=Dağıtım-OG",'[7]TABLO-1'!J4:J32873,"=Güvenlik",'[7]TABLO-1'!K4:K32873,"=Bildirimli",'[7]TABLO-1'!I4:I32873,"=Uzun",'[7]TABLO-1'!D4:D32873,"=ÇORLU")/P12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SUMIFS('[7]TABLO-1'!Q4:Q32873,'[7]TABLO-1'!H4:H32873,"=Dağıtım-OG",'[7]TABLO-1'!J4:J32873,"=Güvenlik",'[7]TABLO-1'!K4:K32873,"=Bildirimli",'[7]TABLO-1'!I4:I32873,"=Uzun",'[7]TABLO-1'!D4:D32873,"=ÇORLU")/P7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SUMIFS('[7]TABLO-1'!R4:R32873,'[7]TABLO-1'!H4:H32873,"=Dağıtım-OG",'[7]TABLO-1'!J4:J32873,"=Güvenlik",'[7]TABLO-1'!K4:K32873,"=Bildirimli",'[7]TABLO-1'!I4:I32873,"=Uzun",'[7]TABLO-1'!D4:D32873,"=ÇORLU")/P13</f>
        <v>#DIV/0!</v>
      </c>
      <c r="I48" s="10" t="str">
        <f t="shared" si="16"/>
        <v>0,00</v>
      </c>
      <c r="J48" s="10">
        <f>SUMIFS('[7]TABLO-1'!S4:S32873,'[7]TABLO-1'!H4:H32873,"=Dağıtım-OG",'[7]TABLO-1'!J4:J32873,"=Güvenlik",'[7]TABLO-1'!K4:K32873,"=Bildirimli",'[7]TABLO-1'!I4:I32873,"=Uzun",'[7]TABLO-1'!D4:D32873,"=ÇORLU")/P8</f>
        <v>0</v>
      </c>
      <c r="K48" s="10">
        <f>SUMIFS('[7]TABLO-1'!T4:T32873,'[7]TABLO-1'!H4:H32873,"=Dağıtım-OG",'[7]TABLO-1'!J4:J32873,"=Güvenlik",'[7]TABLO-1'!K4:K32873,"=bildirimli",'[7]TABLO-1'!I4:I32873,"=Uzun",'[7]TABLO-1'!D4:D32873,"=ÇORLU")/P14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İşletmecisi",'[7]TABLO-1'!K4:K32873,"=Bildirimli",'[7]TABLO-1'!I4:I32873,"=Uzun",'[7]TABLO-1'!D4:D32873,"=ÇORLU")/P6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İşletmecisi",'[7]TABLO-1'!K4:K32873,"=Bildirimli",'[7]TABLO-1'!I4:I32873,"=Uzun",'[7]TABLO-1'!D4:D32873,"=ÇORLU")/P12</f>
        <v>8.9047195013357075E-3</v>
      </c>
      <c r="F49" s="10">
        <f t="shared" si="15"/>
        <v>8.8283134897839486E-3</v>
      </c>
      <c r="G49" s="12" t="e">
        <f>SUMIFS('[7]TABLO-1'!Q4:Q32873,'[7]TABLO-1'!H4:H32873,"=Dağıtım-AG",'[7]TABLO-1'!J4:J32873,"=Şebeke İşletmecisi",'[7]TABLO-1'!K4:K32873,"=Bildirimli",'[7]TABLO-1'!I4:I32873,"=Uzun",'[7]TABLO-1'!D4:D32873,"=ÇORLU")/P7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İşletmecisi",'[7]TABLO-1'!K4:K32873,"=Bildirimli",'[7]TABLO-1'!I4:I32873,"=Uzun",'[7]TABLO-1'!D4:D32873,"=ÇORLU")/P13</f>
        <v>#DIV/0!</v>
      </c>
      <c r="I49" s="10" t="str">
        <f t="shared" si="16"/>
        <v>0,00</v>
      </c>
      <c r="J49" s="12">
        <f>SUMIFS('[7]TABLO-1'!S4:S32873,'[7]TABLO-1'!H4:H32873,"=Dağıtım-AG",'[7]TABLO-1'!J4:J32873,"=Şebeke İşletmecisi",'[7]TABLO-1'!K4:K32873,"=Bildirimli",'[7]TABLO-1'!I4:I32873,"=Uzun",'[7]TABLO-1'!D4:D32873,"=ÇORLU")/P8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İşletmecisi",'[7]TABLO-1'!K4:K32873,"=bildirimli",'[7]TABLO-1'!I4:I32873,"=Uzun",'[7]TABLO-1'!D4:D32873,"=ÇORLU")/P14</f>
        <v>0</v>
      </c>
      <c r="L49" s="10">
        <f t="shared" si="17"/>
        <v>0</v>
      </c>
      <c r="M49" s="11">
        <f t="shared" si="18"/>
        <v>8.7608235174106361E-3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SUMIFS('[7]TABLO-1'!O4:O32873,'[7]TABLO-1'!H4:H32873,"=Dağıtım-AG",'[7]TABLO-1'!J4:J32873,"=Güvenlik",'[7]TABLO-1'!K4:K32873,"=Bildirimli",'[7]TABLO-1'!I4:I32873,"=Uzun",'[7]TABLO-1'!D4:D32873,"=ÇORLU")/P6</f>
        <v>0</v>
      </c>
      <c r="E50" s="10">
        <f>SUMIFS('[7]TABLO-1'!P4:P32873,'[7]TABLO-1'!H4:H32873,"=Dağıtım-AG",'[7]TABLO-1'!J4:J32873,"=Güvenlik",'[7]TABLO-1'!K4:K32873,"=Bildirimli",'[7]TABLO-1'!I4:I32873,"=Uzun",'[7]TABLO-1'!D4:D32873,"=ÇORLU")/P12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SUMIFS('[7]TABLO-1'!Q4:Q32873,'[7]TABLO-1'!H4:H32873,"=Dağıtım-AG",'[7]TABLO-1'!J4:J32873,"=Güvenlik",'[7]TABLO-1'!K4:K32873,"=Bildirimli",'[7]TABLO-1'!I4:I32873,"=Uzun",'[7]TABLO-1'!D4:D32873,"=ÇORLU")/P7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SUMIFS('[7]TABLO-1'!R4:R32873,'[7]TABLO-1'!H4:H32873,"=Dağıtım-AG",'[7]TABLO-1'!J4:J32873,"=Güvenlik",'[7]TABLO-1'!K4:K32873,"=Bildirimli",'[7]TABLO-1'!I4:I32873,"=Uzun",'[7]TABLO-1'!D4:D32873,"=ÇORLU")/P13</f>
        <v>#DIV/0!</v>
      </c>
      <c r="I50" s="10" t="str">
        <f t="shared" si="16"/>
        <v>0,00</v>
      </c>
      <c r="J50" s="12">
        <f>SUMIFS('[7]TABLO-1'!S4:S32873,'[7]TABLO-1'!H4:H32873,"=Dağıtım-AG",'[7]TABLO-1'!J4:J32873,"=Güvenlik",'[7]TABLO-1'!K4:K32873,"=Bildirimli",'[7]TABLO-1'!I4:I32873,"=Uzun",'[7]TABLO-1'!D4:D32873,"=ÇORLU")/P8</f>
        <v>0</v>
      </c>
      <c r="K50" s="10">
        <f>SUMIFS('[7]TABLO-1'!T4:T32873,'[7]TABLO-1'!H4:H32873,"=Dağıtım-AG",'[7]TABLO-1'!J4:J32873,"=Güvenlik",'[7]TABLO-1'!K4:K32873,"=bildirimli",'[7]TABLO-1'!I4:I32873,"=Uzun",'[7]TABLO-1'!D4:D32873,"=ÇORLU")/P14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0.49682875264270615</v>
      </c>
      <c r="E51" s="10">
        <f t="shared" ref="E51:M51" si="19">SUM(E46:E50)</f>
        <v>0.13938325668768831</v>
      </c>
      <c r="F51" s="10">
        <f t="shared" si="19"/>
        <v>0.14245028026871934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>
        <f t="shared" si="19"/>
        <v>1.6744186046511629</v>
      </c>
      <c r="K51" s="10">
        <f t="shared" si="19"/>
        <v>9.2640653357531768</v>
      </c>
      <c r="L51" s="10">
        <f t="shared" si="19"/>
        <v>8.2394034536891674</v>
      </c>
      <c r="M51" s="10">
        <f t="shared" si="19"/>
        <v>0.20434920882562962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SUMIFS('[7]TABLO-1'!O1:O32873,'[7]TABLO-1'!H1:H32873,"=İletim",'[7]TABLO-1'!K1:K32873,"=Bildirimsiz",'[7]TABLO-1'!I1:I32873,"=Kısa",'[7]TABLO-1'!D1:D32873,"=ÇORLU")/P6</f>
        <v>0</v>
      </c>
      <c r="D56" s="10">
        <f>SUMIFS('[7]TABLO-1'!P1:P32873,'[7]TABLO-1'!H1:H32873,"=İletim",'[7]TABLO-1'!K1:K32873,"=Bildirimsiz",'[7]TABLO-1'!I1:I32873,"=Kısa",'[7]TABLO-1'!D1:D32873,"=ÇORLU")/P12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SUMIFS('[7]TABLO-1'!Q1:Q32873,'[7]TABLO-1'!H1:H32873,"=İletim",'[7]TABLO-1'!K1:K32873,"=Bildirimsiz",'[7]TABLO-1'!I1:I32873,"=Kısa",'[7]TABLO-1'!D1:D32873,"=ÇORLU")/P7</f>
        <v>#DIV/0!</v>
      </c>
      <c r="G56" s="10" t="e">
        <f>SUMIFS('[7]TABLO-1'!R1:R32873,'[7]TABLO-1'!H1:H32873,"=İletim",'[7]TABLO-1'!K1:K32873,"=Bildirimsiz",'[7]TABLO-1'!I1:I32873,"=Kısa",'[7]TABLO-1'!D1:D32873,"=ÇORLU")/P13</f>
        <v>#DIV/0!</v>
      </c>
      <c r="H56" s="10" t="str">
        <f>IFERROR((((F56*$P$7)+(G56*$P$13))/$P$20),"0,00")</f>
        <v>0,00</v>
      </c>
      <c r="I56" s="10">
        <f>SUMIFS('[7]TABLO-1'!S1:S32873,'[7]TABLO-1'!H1:H32873,"=İletim",'[7]TABLO-1'!K1:K32873,"=Bildirimsiz",'[7]TABLO-1'!I1:I32873,"=Kısa",'[7]TABLO-1'!D1:D32873,"=ÇORLU")/P8</f>
        <v>0</v>
      </c>
      <c r="J56" s="10">
        <f>SUMIFS('[7]TABLO-1'!T1:T32873,'[7]TABLO-1'!H1:H32873,"=İletim",'[7]TABLO-1'!K1:K32873,"=Bildirimsiz",'[7]TABLO-1'!I1:I32873,"=Kısa",'[7]TABLO-1'!D1:D32873,"=ÇORLU")/P14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SUMIFS('[7]TABLO-1'!O4:O32873,'[7]TABLO-1'!H4:H32873,"=Dağıtım-OG",'[7]TABLO-1'!K4:K32873,"=Bildirimsiz",'[7]TABLO-1'!I4:I32873,"=Kısa",'[7]TABLO-1'!D4:D32873,"=ÇORLU")/P6</f>
        <v>2.0436927413671601E-2</v>
      </c>
      <c r="D57" s="10">
        <f>SUMIFS('[7]TABLO-1'!P4:P32873,'[7]TABLO-1'!H4:H32873,"=Dağıtım-OG",'[7]TABLO-1'!K4:K32873,"=Bildirimsiz",'[7]TABLO-1'!I4:I32873,"=Kısa",'[7]TABLO-1'!D4:D32873,"=ÇORLU")/P12</f>
        <v>1.2881347662206175E-2</v>
      </c>
      <c r="E57" s="10">
        <f>IFERROR((((C57*$P$6)+(D57*$P$12))/$P$17),"0,00")</f>
        <v>1.2946177521662626E-2</v>
      </c>
      <c r="F57" s="10" t="e">
        <f>SUMIFS('[7]TABLO-1'!Q4:Q32873,'[7]TABLO-1'!H4:H32873,"=Dağıtım-OG",'[7]TABLO-1'!K4:K32873,"=Bildirimsiz",'[7]TABLO-1'!I4:I32873,"=Kısa",'[7]TABLO-1'!D4:D32873,"=ÇORLU")/P7</f>
        <v>#DIV/0!</v>
      </c>
      <c r="G57" s="10" t="e">
        <f>SUMIFS('[7]TABLO-1'!R4:R32873,'[7]TABLO-1'!H4:H32873,"=Dağıtım-OG",'[7]TABLO-1'!K4:K32873,"=Bildirimsiz",'[7]TABLO-1'!I4:I32873,"=Kısa",'[7]TABLO-1'!D4:D32873,"=ÇORLU")/P13</f>
        <v>#DIV/0!</v>
      </c>
      <c r="H57" s="10" t="str">
        <f>IFERROR((((F57*$P$7)+(G57*$P$13))/$P$20),"0,00")</f>
        <v>0,00</v>
      </c>
      <c r="I57" s="10">
        <f>SUMIFS('[7]TABLO-1'!S4:S32873,'[7]TABLO-1'!H4:H32873,"=Dağıtım-OG",'[7]TABLO-1'!K4:K32873,"=Bildirimsiz",'[7]TABLO-1'!I4:I32873,"=Kısa",'[7]TABLO-1'!D4:D32873,"=ÇORLU")/P8</f>
        <v>0.19767441860465115</v>
      </c>
      <c r="J57" s="10">
        <f>SUMIFS('[7]TABLO-1'!T4:T32873,'[7]TABLO-1'!H4:H32873,"=Dağıtım-OG",'[7]TABLO-1'!K4:K32873,"=Bildirimsiz",'[7]TABLO-1'!I4:I32873,"=Kısa",'[7]TABLO-1'!D4:D32873,"=ÇORLU")/P14</f>
        <v>2.4401088929219599</v>
      </c>
      <c r="K57" s="10">
        <f>IFERROR((((I57*$P$8)+(J57*$P$14))/$P$23),"0,00")</f>
        <v>2.1373626373626373</v>
      </c>
      <c r="L57" s="11">
        <f>IFERROR((((E57*$P$17)+(H57*$P$20)+(K57*$P$23))/$P$26),"0,00")</f>
        <v>2.9186743553894067E-2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SUMIFS('[7]TABLO-1'!O4:O32873,'[7]TABLO-1'!H4:H32873,"=Dağıtım-AG",'[7]TABLO-1'!K4:K32873,"=Bildirimsiz",'[7]TABLO-1'!I4:I32873,"=Kısa",'[7]TABLO-1'!D4:D32873,"=ÇORLU")/P6</f>
        <v>0</v>
      </c>
      <c r="D58" s="10">
        <f>SUMIFS('[7]TABLO-1'!P4:P32873,'[7]TABLO-1'!H4:H32873,"=Dağıtım-AG",'[7]TABLO-1'!K4:K32873,"=Bildirimsiz",'[7]TABLO-1'!I4:I32873,"=Kısa",'[7]TABLO-1'!D4:D32873,"=ÇORLU")/P12</f>
        <v>0</v>
      </c>
      <c r="E58" s="10">
        <f>IFERROR((((C58*$P$6)+(D58*$P$12))/$P$17),"0,00")</f>
        <v>0</v>
      </c>
      <c r="F58" s="10" t="e">
        <f>SUMIFS('[7]TABLO-1'!Q4:Q32873,'[7]TABLO-1'!H4:H32873,"=Dağıtım-AG",'[7]TABLO-1'!K4:K32873,"=Bildirimsiz",'[7]TABLO-1'!I4:I32873,"=Kısa",'[7]TABLO-1'!D4:D32873,"=ÇORLU")/P7</f>
        <v>#DIV/0!</v>
      </c>
      <c r="G58" s="10" t="e">
        <f>SUMIFS('[7]TABLO-1'!R4:R32873,'[7]TABLO-1'!H4:H32873,"=Dağıtım-AG",'[7]TABLO-1'!K4:K32873,"=Bildirimsiz",'[7]TABLO-1'!I4:I32873,"=Kısa",'[7]TABLO-1'!D4:D32873,"=ÇORLU")/P13</f>
        <v>#DIV/0!</v>
      </c>
      <c r="H58" s="10" t="str">
        <f>IFERROR((((F58*$P$7)+(G58*$P$13))/$P$20),"0,00")</f>
        <v>0,00</v>
      </c>
      <c r="I58" s="10">
        <f>SUMIFS('[7]TABLO-1'!S4:S32873,'[7]TABLO-1'!H4:H32873,"=Dağıtım-AG",'[7]TABLO-1'!K4:K32873,"=Bildirimsiz",'[7]TABLO-1'!I4:I32873,"=Kısa",'[7]TABLO-1'!D4:D32873,"=ÇORLU")/P8</f>
        <v>0</v>
      </c>
      <c r="J58" s="10">
        <f>SUMIFS('[7]TABLO-1'!T4:T32873,'[7]TABLO-1'!H4:H32873,"=Dağıtım-AG",'[7]TABLO-1'!K4:K32873,"=Bildirimsiz",'[7]TABLO-1'!I4:I32873,"=Kısa",'[7]TABLO-1'!D4:D32873,"=ÇORLU")/P14</f>
        <v>9.0744101633393835E-3</v>
      </c>
      <c r="K58" s="10">
        <f>IFERROR((((I58*$P$8)+(J58*$P$14))/$P$23),"0,00")</f>
        <v>7.8492935635792772E-3</v>
      </c>
      <c r="L58" s="11">
        <f>IFERROR((((E58*$P$17)+(H58*$P$20)+(K58*$P$23))/$P$26),"0,00")</f>
        <v>6.0005640530209838E-5</v>
      </c>
    </row>
    <row r="59" spans="2:13" ht="15" customHeight="1" thickBot="1" x14ac:dyDescent="0.3">
      <c r="B59" s="30" t="s">
        <v>20</v>
      </c>
      <c r="C59" s="10">
        <f t="shared" ref="C59:L59" si="20">SUM(C56:C58)</f>
        <v>2.0436927413671601E-2</v>
      </c>
      <c r="D59" s="10">
        <f t="shared" si="20"/>
        <v>1.2881347662206175E-2</v>
      </c>
      <c r="E59" s="10">
        <f t="shared" si="20"/>
        <v>1.2946177521662626E-2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>
        <f t="shared" si="20"/>
        <v>0.19767441860465115</v>
      </c>
      <c r="J59" s="10">
        <f t="shared" si="20"/>
        <v>2.4491833030852992</v>
      </c>
      <c r="K59" s="10">
        <f t="shared" si="20"/>
        <v>2.1452119309262168</v>
      </c>
      <c r="L59" s="10">
        <f t="shared" si="20"/>
        <v>2.9246749194424278E-2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1419</v>
      </c>
      <c r="D65" s="27">
        <f>P12</f>
        <v>163958</v>
      </c>
      <c r="E65" s="27">
        <f>C65+D65</f>
        <v>165377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172</v>
      </c>
      <c r="J65" s="27">
        <f>P14</f>
        <v>1102</v>
      </c>
      <c r="K65" s="17">
        <f>SUM(I65:J65)</f>
        <v>1274</v>
      </c>
      <c r="L65" s="17">
        <f>H65+E65+K65</f>
        <v>166651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Q71"/>
  <sheetViews>
    <sheetView zoomScale="70" zoomScaleNormal="70" workbookViewId="0">
      <selection activeCell="P30" sqref="P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İşletmecisi",'[7]TABLO-1'!K4:K32873,"=Bildirimsiz",'[7]TABLO-1'!I4:I32873,"=Uzun",'[7]TABLO-1'!D4:D32873,"=ÇERKEZKÖY")/P6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İşletmecisi",'[7]TABLO-1'!K4:K32873,"=Bildirimsiz",'[7]TABLO-1'!I4:I32873,"=Uzun",'[7]TABLO-1'!D4:D32873,"=ÇERKEZKÖY")/P12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İşletmecisi",'[7]TABLO-1'!K4:K32873,"=Bildirimsiz",'[7]TABLO-1'!I4:I32873,"=Uzun",'[7]TABLO-1'!D4:D32873,"=ÇERKEZKÖY")/P7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İşletmecisi",'[7]TABLO-1'!K4:K32873,"=Bildirimsiz",'[7]TABLO-1'!I4:I32873,"=Uzun",'[7]TABLO-1'!D4:D32873,"=ÇERKEZKÖY")/P13</f>
        <v>#DIV/0!</v>
      </c>
      <c r="I6" s="10" t="str">
        <f>IFERROR((((G6*$P$7)+(H6*$P$13))/$P$20),"0,00")</f>
        <v>0,00</v>
      </c>
      <c r="J6" s="10" t="e">
        <f>SUMIFS('[7]TABLO-1'!Y4:Y32873,'[7]TABLO-1'!H4:H32873,"=İletim",'[7]TABLO-1'!J4:J32873,"=Şebeke İşletmecisi",'[7]TABLO-1'!K4:K32873,"=Bildirimsiz",'[7]TABLO-1'!I4:I32873,"=Uzun",'[7]TABLO-1'!D4:D32873,"=ÇERKEZKÖY")/P8</f>
        <v>#DIV/0!</v>
      </c>
      <c r="K6" s="10" t="e">
        <f>SUMIFS('[7]TABLO-1'!Z4:Z32873,'[7]TABLO-1'!H4:H32873,"=İletim",'[7]TABLO-1'!J4:J32873,"=Şebeke İşletmecisi",'[7]TABLO-1'!K4:K32873,"=Bildirimsiz",'[7]TABLO-1'!I4:I32873,"=Uzun",'[7]TABLO-1'!D4:D32873,"=ÇERKEZKÖY")/P14</f>
        <v>#DIV/0!</v>
      </c>
      <c r="L6" s="10" t="str">
        <f>IFERROR((((J6*$P$8)+(K6*$P$14))/$P$23),"0,00")</f>
        <v>0,00</v>
      </c>
      <c r="M6" s="11">
        <f>IFERROR((((F6*$P$17)+(I6*$P$20)+(L6*$P$23))/$P$26),"0,00")</f>
        <v>0</v>
      </c>
      <c r="O6" s="20" t="s">
        <v>33</v>
      </c>
      <c r="P6" s="40">
        <v>484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Sebep",'[7]TABLO-1'!K4:K32873,"=Bildirimsiz",'[7]TABLO-1'!I4:I32873,"=Uzun",'[7]TABLO-1'!D4:D32873,"=ÇERKEZKÖY")/P6</f>
        <v>0</v>
      </c>
      <c r="E7" s="10">
        <f>SUMIFS('[7]TABLO-1'!V4:V32873,'[7]TABLO-1'!H4:H32873,"=İletim",'[7]TABLO-1'!J4:J32873,"=Mücbir Sebep",'[7]TABLO-1'!K4:K32873,"=Bildirimsiz",'[7]TABLO-1'!I4:I32873,"=Uzun",'[7]TABLO-1'!D4:D32873,"=ÇERKEZKÖY")/P12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Sebep",'[7]TABLO-1'!K4:K32873,"=Bildirimsiz",'[7]TABLO-1'!I4:I32873,"=Uzun",'[7]TABLO-1'!D4:D32873,"=ÇERKEZKÖY")/P7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Sebep",'[7]TABLO-1'!K4:K32873,"=Bildirimsiz",'[7]TABLO-1'!I4:I32873,"=Uzun",'[7]TABLO-1'!D4:D32873,"=ÇERKEZKÖY")/P13</f>
        <v>#DIV/0!</v>
      </c>
      <c r="I7" s="10" t="str">
        <f t="shared" ref="I7:I15" si="1">IFERROR((((G7*$P$7)+(H7*$P$13))/$P$20),"0,00")</f>
        <v>0,00</v>
      </c>
      <c r="J7" s="10" t="e">
        <f>SUMIFS('[7]TABLO-1'!Y4:Y32873,'[7]TABLO-1'!H4:H32873,"=İletim",'[7]TABLO-1'!J4:J32873,"=Mücbir Sebep",'[7]TABLO-1'!K4:K32873,"=Bildirimsiz",'[7]TABLO-1'!I4:I32873,"=Uzun",'[7]TABLO-1'!D4:D32873,"=ÇERKEZKÖY")/P8</f>
        <v>#DIV/0!</v>
      </c>
      <c r="K7" s="10" t="e">
        <f>SUMIFS('[7]TABLO-1'!Z4:Z32873,'[7]TABLO-1'!H4:H32873,"=İletim",'[7]TABLO-1'!J4:J32873,"=Mücbir Sebep",'[7]TABLO-1'!K4:K32873,"=Bildirimsiz",'[7]TABLO-1'!I4:I32873,"=Uzun",'[7]TABLO-1'!D4:D32873,"=ÇERKEZKÖY")/P14</f>
        <v>#DIV/0!</v>
      </c>
      <c r="L7" s="10" t="str">
        <f t="shared" ref="L7:L15" si="2">IFERROR((((J7*$P$8)+(K7*$P$14))/$P$23),"0,00")</f>
        <v>0,00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İşletmecisi",'[7]TABLO-1'!K4:K32873,"=Bildirimsiz",'[7]TABLO-1'!I4:I32873,"=Uzun",'[7]TABLO-1'!D4:D32873,"=ÇERKEZKÖY")/P6</f>
        <v>54.228994489947148</v>
      </c>
      <c r="E8" s="10">
        <f>SUMIFS('[7]TABLO-1'!V4:V32873,'[7]TABLO-1'!H4:H32873,"=Dağıtım-OG",'[7]TABLO-1'!J4:J32873,"=Şebeke İşletmecisi",'[7]TABLO-1'!K4:K32873,"=Bildirimsiz",'[7]TABLO-1'!I4:I32873,"=Uzun",'[7]TABLO-1'!D4:D32873,"=ÇERKEZKÖY")/P12</f>
        <v>30.965517990726653</v>
      </c>
      <c r="F8" s="10">
        <f t="shared" si="0"/>
        <v>31.077072414211766</v>
      </c>
      <c r="G8" s="10" t="e">
        <f>SUMIFS('[7]TABLO-1'!W4:W32873,'[7]TABLO-1'!H4:H32873,"=Dağıtım-OG",'[7]TABLO-1'!J4:J32873,"=Şebeke İşletmecisi",'[7]TABLO-1'!K4:K32873,"=Bildirimsiz",'[7]TABLO-1'!I4:I32873,"=Uzun",'[7]TABLO-1'!D4:D32873,"=ÇERKEZKÖY")/P7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İşletmecisi",'[7]TABLO-1'!K4:K32873,"=Bildirimsiz",'[7]TABLO-1'!I4:I32873,"=Uzun",'[7]TABLO-1'!D4:D32873,"=ÇERKEZKÖY")/P13</f>
        <v>#DIV/0!</v>
      </c>
      <c r="I8" s="10" t="str">
        <f t="shared" si="1"/>
        <v>0,00</v>
      </c>
      <c r="J8" s="10" t="e">
        <f>SUMIFS('[7]TABLO-1'!Y4:Y32873,'[7]TABLO-1'!H4:H32873,"=Dağıtım-OG",'[7]TABLO-1'!J4:J32873,"=Şebeke İşletmecisi",'[7]TABLO-1'!K4:K32873,"=Bildirimsiz",'[7]TABLO-1'!I4:I32873,"=Uzun",'[7]TABLO-1'!D4:D32873,"=ÇERKEZKÖY")/P8</f>
        <v>#DIV/0!</v>
      </c>
      <c r="K8" s="10" t="e">
        <f>SUMIFS('[7]TABLO-1'!Z4:Z32873,'[7]TABLO-1'!H4:H32873,"=Dağıtım-OG",'[7]TABLO-1'!J4:J32873,"=Şebeke İşletmecisi",'[7]TABLO-1'!K4:K32873,"=Bildirimsiz",'[7]TABLO-1'!I4:I32873,"=Uzun",'[7]TABLO-1'!D4:D32873,"=ÇERKEZKÖY")/P14</f>
        <v>#DIV/0!</v>
      </c>
      <c r="L8" s="10" t="str">
        <f t="shared" si="2"/>
        <v>0,00</v>
      </c>
      <c r="M8" s="11">
        <f t="shared" si="3"/>
        <v>31.077072414211766</v>
      </c>
      <c r="O8" s="20" t="s">
        <v>36</v>
      </c>
      <c r="P8" s="53">
        <v>0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SUMIFS('[7]TABLO-1'!U4:U32873,'[7]TABLO-1'!H4:H32873,"=Dağıtım-OG",'[7]TABLO-1'!J4:J32873,"=Dışsal",'[7]TABLO-1'!K4:K32873,"=Bildirimsiz",'[7]TABLO-1'!I4:I32873,"=Uzun",'[7]TABLO-1'!D4:D32873,"=ÇERKEZKÖY")/P6</f>
        <v>8.2747933885596368</v>
      </c>
      <c r="E9" s="10">
        <f>SUMIFS('[7]TABLO-1'!V4:V32873,'[7]TABLO-1'!H4:H32873,"=Dağıtım-OG",'[7]TABLO-1'!J4:J32873,"=Dışsal",'[7]TABLO-1'!K4:K32873,"=Bildirimsiz",'[7]TABLO-1'!I4:I32873,"=Uzun",'[7]TABLO-1'!D4:D32873,"=ÇERKEZKÖY")/P12</f>
        <v>0</v>
      </c>
      <c r="F9" s="10">
        <f t="shared" si="0"/>
        <v>3.9679787582484069E-2</v>
      </c>
      <c r="G9" s="10" t="e">
        <f>SUMIFS('[7]TABLO-1'!W4:W32873,'[7]TABLO-1'!H4:H32873,"=Dağıtım-OG",'[7]TABLO-1'!J4:J32873,"=Dışsal",'[7]TABLO-1'!K4:K32873,"=Bildirimsiz",'[7]TABLO-1'!I4:I32873,"=Uzun",'[7]TABLO-1'!D4:D32873,"=ÇERKEZKÖY")/P7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SUMIFS('[7]TABLO-1'!X4:X32873,'[7]TABLO-1'!H4:H32873,"=Dağıtım-OG",'[7]TABLO-1'!J4:J32873,"=Dışsal",'[7]TABLO-1'!K4:K32873,"=Bildirimsiz",'[7]TABLO-1'!I4:I32873,"=Uzun",'[7]TABLO-1'!D4:D32873,"=ÇERKEZKÖY")/P13</f>
        <v>#DIV/0!</v>
      </c>
      <c r="I9" s="10" t="str">
        <f t="shared" si="1"/>
        <v>0,00</v>
      </c>
      <c r="J9" s="10" t="e">
        <f>SUMIFS('[7]TABLO-1'!Y4:Y32873,'[7]TABLO-1'!H4:H32873,"=Dağıtım-OG",'[7]TABLO-1'!J4:J32873,"=Dışsal",'[7]TABLO-1'!K4:K32873,"=Bildirimsiz",'[7]TABLO-1'!I4:I32873,"=Uzun",'[7]TABLO-1'!D4:D32873,"=ÇERKEZKÖY")/P8</f>
        <v>#DIV/0!</v>
      </c>
      <c r="K9" s="10" t="e">
        <f>SUMIFS('[7]TABLO-1'!Z4:Z32873,'[7]TABLO-1'!H4:H32873,"=Dağıtım-OG",'[7]TABLO-1'!J4:J32873,"=Dışsal",'[7]TABLO-1'!K4:K32873,"=Bildirimsiz",'[7]TABLO-1'!I4:I32873,"=Uzun",'[7]TABLO-1'!D4:D32873,"=ÇERKEZKÖY")/P14</f>
        <v>#DIV/0!</v>
      </c>
      <c r="L9" s="10" t="str">
        <f t="shared" si="2"/>
        <v>0,00</v>
      </c>
      <c r="M9" s="11">
        <f t="shared" si="3"/>
        <v>3.9679787582484069E-2</v>
      </c>
      <c r="O9" s="20" t="s">
        <v>17</v>
      </c>
      <c r="P9" s="53">
        <f>P6+P7+P8</f>
        <v>484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Sebep",'[7]TABLO-1'!K4:K32873,"=Bildirimsiz",'[7]TABLO-1'!I4:I32873,"=Uzun",'[7]TABLO-1'!D4:D32873,"=ÇERKEZKÖY")/P6</f>
        <v>0</v>
      </c>
      <c r="E10" s="10">
        <f>SUMIFS('[7]TABLO-1'!V4:V32873,'[7]TABLO-1'!H4:H32873,"=Dağıtım-OG",'[7]TABLO-1'!J4:J32873,"=Mücbir Sebep",'[7]TABLO-1'!K4:K32873,"=Bildirimsiz",'[7]TABLO-1'!I4:I32873,"=Uzun",'[7]TABLO-1'!D4:D32873,"=ÇERKEZKÖY")/P12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Sebep",'[7]TABLO-1'!K4:K32873,"=Bildirimsiz",'[7]TABLO-1'!I4:I32873,"=Uzun",'[7]TABLO-1'!D4:D32873,"=ÇERKEZKÖY")/P7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Sebep",'[7]TABLO-1'!K4:K32873,"=Bildirimsiz",'[7]TABLO-1'!I4:I32873,"=Uzun",'[7]TABLO-1'!D4:D32873,"=ÇERKEZKÖY")/P13</f>
        <v>#DIV/0!</v>
      </c>
      <c r="I10" s="10" t="str">
        <f t="shared" si="1"/>
        <v>0,00</v>
      </c>
      <c r="J10" s="10" t="e">
        <f>SUMIFS('[7]TABLO-1'!Y4:Y32873,'[7]TABLO-1'!H4:H32873,"=Dağıtım-OG",'[7]TABLO-1'!J4:J32873,"=Mücbir Sebep",'[7]TABLO-1'!K4:K32873,"=Bildirimsiz",'[7]TABLO-1'!I4:I32873,"=Uzun",'[7]TABLO-1'!D4:D32873,"=ÇERKEZKÖY")/P8</f>
        <v>#DIV/0!</v>
      </c>
      <c r="K10" s="10" t="e">
        <f>SUMIFS('[7]TABLO-1'!Z4:Z32873,'[7]TABLO-1'!H4:H32873,"=Dağıtım-OG",'[7]TABLO-1'!J4:J32873,"=Mücbir Sebep",'[7]TABLO-1'!K4:K32873,"=Bildirimsiz",'[7]TABLO-1'!I4:I32873,"=Uzun",'[7]TABLO-1'!D4:D32873,"=ÇERKEZKÖY")/P14</f>
        <v>#DIV/0!</v>
      </c>
      <c r="L10" s="10" t="str">
        <f t="shared" si="2"/>
        <v>0,00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SUMIFS('[7]TABLO-1'!U4:U32873,'[7]TABLO-1'!H4:H32873,"=Dağıtım-OG",'[7]TABLO-1'!J4:J32873,"=Güvenlik",'[7]TABLO-1'!K4:K32873,"=Bildirimsiz",'[7]TABLO-1'!I4:I32873,"=Uzun",'[7]TABLO-1'!D4:D32873,"=ÇERKEZKÖY")/P6</f>
        <v>0</v>
      </c>
      <c r="E11" s="10">
        <f>SUMIFS('[7]TABLO-1'!V4:V32873,'[7]TABLO-1'!H4:H32873,"=Dağıtım-OG",'[7]TABLO-1'!J4:J32873,"=Güvenlik",'[7]TABLO-1'!K4:K32873,"=Bildirimsiz",'[7]TABLO-1'!I4:I32873,"=Uzun",'[7]TABLO-1'!D4:D32873,"=ÇERKEZKÖY")/P12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SUMIFS('[7]TABLO-1'!W4:W32873,'[7]TABLO-1'!H4:H32873,"=Dağıtım-OG",'[7]TABLO-1'!J4:J32873,"=Güvenlik",'[7]TABLO-1'!K4:K32873,"=Bildirimsiz",'[7]TABLO-1'!I4:I32873,"=Uzun",'[7]TABLO-1'!D4:D32873,"=ÇERKEZKÖY")/P7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SUMIFS('[7]TABLO-1'!X4:X32873,'[7]TABLO-1'!H4:H32873,"=Dağıtım-OG",'[7]TABLO-1'!J4:J32873,"=Güvenlik",'[7]TABLO-1'!K4:K32873,"=Bildirimsiz",'[7]TABLO-1'!I4:I32873,"=Uzun",'[7]TABLO-1'!D4:D32873,"=ÇERKEZKÖY")/P13</f>
        <v>#DIV/0!</v>
      </c>
      <c r="I11" s="10" t="str">
        <f t="shared" si="1"/>
        <v>0,00</v>
      </c>
      <c r="J11" s="10" t="e">
        <f>SUMIFS('[7]TABLO-1'!Y4:Y32873,'[7]TABLO-1'!H4:H32873,"=Dağıtım-OG",'[7]TABLO-1'!J4:J32873,"=Güvenlik",'[7]TABLO-1'!K4:K32873,"=Bildirimsiz",'[7]TABLO-1'!I4:I32873,"=Uzun",'[7]TABLO-1'!D4:D32873,"=ÇERKEZKÖY")/P8</f>
        <v>#DIV/0!</v>
      </c>
      <c r="K11" s="10" t="e">
        <f>SUMIFS('[7]TABLO-1'!Z4:Z32873,'[7]TABLO-1'!H4:H32873,"=Dağıtım-OG",'[7]TABLO-1'!J4:J32873,"=Güvenlik",'[7]TABLO-1'!K4:K32873,"=Bildirimsiz",'[7]TABLO-1'!I4:I32873,"=Uzun",'[7]TABLO-1'!D4:D32873,"=ÇERKEZKÖY")/P14</f>
        <v>#DIV/0!</v>
      </c>
      <c r="L11" s="10" t="str">
        <f t="shared" si="2"/>
        <v>0,00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İşletmecisi",'[7]TABLO-1'!K4:K32873,"=Bildirimsiz",'[7]TABLO-1'!I4:I32873,"=Uzun",'[7]TABLO-1'!D4:D32873,"=ÇERKEZKÖY")/P6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işletmecisi",'[7]TABLO-1'!K4:K32873,"=Bildirimsiz",'[7]TABLO-1'!I4:I32873,"=Uzun",'[7]TABLO-1'!D4:D32873,"=ÇERKEZKÖY")/P12</f>
        <v>2.4818503252967106</v>
      </c>
      <c r="F12" s="10">
        <f t="shared" si="0"/>
        <v>2.4699492071545408</v>
      </c>
      <c r="G12" s="12" t="e">
        <f>SUMIFS('[7]TABLO-1'!W4:W32873,'[7]TABLO-1'!H4:H32873,"=Dağıtım-AG",'[7]TABLO-1'!J4:J32873,"=Şebeke İşletmecisi",'[7]TABLO-1'!K4:K32873,"=Bildirimsiz",'[7]TABLO-1'!I4:I32873,"=Uzun",'[7]TABLO-1'!D4:D32873,"=ÇERKEZKÖY")/P7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İşletmecisi",'[7]TABLO-1'!K4:K32873,"=Bildirimsiz",'[7]TABLO-1'!I4:I32873,"=Uzun",'[7]TABLO-1'!D4:D32873,"=ÇERKEZKÖY")/P13</f>
        <v>#DIV/0!</v>
      </c>
      <c r="I12" s="10" t="str">
        <f t="shared" si="1"/>
        <v>0,00</v>
      </c>
      <c r="J12" s="12" t="e">
        <f>SUMIFS('[7]TABLO-1'!Y4:Y32873,'[7]TABLO-1'!H4:H32873,"=Dağıtım-AG",'[7]TABLO-1'!J4:J32873,"=Şebeke İşletmecisi",'[7]TABLO-1'!K4:K32873,"=Bildirimsiz",'[7]TABLO-1'!I4:I32873,"=Uzun",'[7]TABLO-1'!D4:D32873,"=ÇERKEZKÖY")/P8</f>
        <v>#DIV/0!</v>
      </c>
      <c r="K12" s="10" t="e">
        <f>SUMIFS('[7]TABLO-1'!Z4:Z32873,'[7]TABLO-1'!H4:H32873,"=Dağıtım-AG",'[7]TABLO-1'!J4:J32873,"=Şebeke İşletmecisi",'[7]TABLO-1'!K4:K32873,"=Bildirimsiz",'[7]TABLO-1'!I4:I32873,"=Uzun",'[7]TABLO-1'!D4:D32873,"=ÇERKEZKÖY")/P14</f>
        <v>#DIV/0!</v>
      </c>
      <c r="L12" s="10" t="str">
        <f t="shared" si="2"/>
        <v>0,00</v>
      </c>
      <c r="M12" s="11">
        <f t="shared" si="3"/>
        <v>2.4699492071545408</v>
      </c>
      <c r="O12" s="6" t="s">
        <v>33</v>
      </c>
      <c r="P12" s="42">
        <v>100449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SUMIFS('[7]TABLO-1'!U4:U32873,'[7]TABLO-1'!H4:H32873,"=Dağıtım-AG",'[7]TABLO-1'!J4:J32873,"=Dışsal",'[7]TABLO-1'!K4:K32873,"=Bildirimsiz",'[7]TABLO-1'!I4:I32873,"=Uzun",'[7]TABLO-1'!D4:D32873,"=ÇERKEZKÖY")/P6</f>
        <v>0</v>
      </c>
      <c r="E13" s="10">
        <f>SUMIFS('[7]TABLO-1'!V4:V32873,'[7]TABLO-1'!H4:H32873,"=Dağıtım-AG",'[7]TABLO-1'!J4:J32873,"=Dışsal",'[7]TABLO-1'!K4:K32873,"=Bildirimsiz",'[7]TABLO-1'!I4:I32873,"=Uzun",'[7]TABLO-1'!D4:D32873,"=ÇERKEZKÖY")/P12</f>
        <v>0.67723023624566769</v>
      </c>
      <c r="F13" s="10">
        <f t="shared" si="0"/>
        <v>0.67398274103257683</v>
      </c>
      <c r="G13" s="12" t="e">
        <f>SUMIFS('[7]TABLO-1'!W4:W32873,'[7]TABLO-1'!H4:H32873,"=Dağıtım-AG",'[7]TABLO-1'!J4:J32873,"=Dışsal",'[7]TABLO-1'!K4:K32873,"=Bildirimsiz",'[7]TABLO-1'!I4:I32873,"=Uzun",'[7]TABLO-1'!D4:D32873,"=ÇERKEZKÖY")/P7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SUMIFS('[7]TABLO-1'!X4:X32873,'[7]TABLO-1'!H4:H32873,"=Dağıtım-AG",'[7]TABLO-1'!J4:J32873,"=Dışsal",'[7]TABLO-1'!K4:K32873,"=Bildirimsiz",'[7]TABLO-1'!I4:I32873,"=Uzun",'[7]TABLO-1'!D4:D32873,"=ÇERKEZKÖY")/P13</f>
        <v>#DIV/0!</v>
      </c>
      <c r="I13" s="10" t="str">
        <f t="shared" si="1"/>
        <v>0,00</v>
      </c>
      <c r="J13" s="12" t="e">
        <f>SUMIFS('[7]TABLO-1'!Y4:Y32873,'[7]TABLO-1'!H4:H32873,"=Dağıtım-AG",'[7]TABLO-1'!J4:J32873,"=Dışsal",'[7]TABLO-1'!K4:K32873,"=Bildirimsiz",'[7]TABLO-1'!I4:I32873,"=Uzun",'[7]TABLO-1'!D4:D32873,"=ÇERKEZKÖY")/P8</f>
        <v>#DIV/0!</v>
      </c>
      <c r="K13" s="10" t="e">
        <f>SUMIFS('[7]TABLO-1'!Z4:Z32873,'[7]TABLO-1'!H4:H32873,"=Dağıtım-AG",'[7]TABLO-1'!J4:J32873,"=Dışsal",'[7]TABLO-1'!K4:K32873,"=Bildirimsiz",'[7]TABLO-1'!I4:I32873,"=Uzun",'[7]TABLO-1'!D4:D32873,"=ÇERKEZKÖY")/P14</f>
        <v>#DIV/0!</v>
      </c>
      <c r="L13" s="10" t="str">
        <f t="shared" si="2"/>
        <v>0,00</v>
      </c>
      <c r="M13" s="11">
        <f t="shared" si="3"/>
        <v>0.67398274103257683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Sebep",'[7]TABLO-1'!K4:K32873,"=Bildirimsiz",'[7]TABLO-1'!I4:I32873,"=Uzun",'[7]TABLO-1'!D4:D32873,"=ÇERKEZKÖY")/P6</f>
        <v>0</v>
      </c>
      <c r="E14" s="10">
        <f>SUMIFS('[7]TABLO-1'!V4:V32873,'[7]TABLO-1'!H4:H32873,"=Dağıtım-AG",'[7]TABLO-1'!J4:J32873,"=Mücbir Sebep",'[7]TABLO-1'!K4:K32873,"=Bildirimsiz",'[7]TABLO-1'!I4:I32873,"=Uzun",'[7]TABLO-1'!D4:D32873,"=ÇERKEZKÖY")/P12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Sebep",'[7]TABLO-1'!K4:K32873,"=Bildirimsiz",'[7]TABLO-1'!I4:I32873,"=Uzun",'[7]TABLO-1'!D4:D32873,"=ÇERKEZKÖY")/P7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Sebep",'[7]TABLO-1'!K4:K32873,"=Bildirimsiz",'[7]TABLO-1'!I4:I32873,"=Uzun",'[7]TABLO-1'!D4:D32873,"=ÇERKEZKÖY")/P13</f>
        <v>#DIV/0!</v>
      </c>
      <c r="I14" s="10" t="str">
        <f t="shared" si="1"/>
        <v>0,00</v>
      </c>
      <c r="J14" s="12" t="e">
        <f>SUMIFS('[7]TABLO-1'!Y4:Y32873,'[7]TABLO-1'!H4:H32873,"=Dağıtım-AG",'[7]TABLO-1'!J4:J32873,"=Mücbir Sebep",'[7]TABLO-1'!K4:K32873,"=Bildirimsiz",'[7]TABLO-1'!I4:I32873,"=Uzun",'[7]TABLO-1'!D4:D32873,"=ÇERKEZKÖY")/P8</f>
        <v>#DIV/0!</v>
      </c>
      <c r="K14" s="10" t="e">
        <f>SUMIFS('[7]TABLO-1'!Z4:Z32873,'[7]TABLO-1'!H4:H32873,"=Dağıtım-AG",'[7]TABLO-1'!J4:J32873,"=Mücbir Sebep",'[7]TABLO-1'!K4:K32873,"=Bildirimsiz",'[7]TABLO-1'!I4:I32873,"=Uzun",'[7]TABLO-1'!D4:D32873,"=ÇERKEZKÖY")/P14</f>
        <v>#DIV/0!</v>
      </c>
      <c r="L14" s="10" t="str">
        <f t="shared" si="2"/>
        <v>0,00</v>
      </c>
      <c r="M14" s="11">
        <f t="shared" si="3"/>
        <v>0</v>
      </c>
      <c r="O14" s="6" t="s">
        <v>36</v>
      </c>
      <c r="P14" s="42">
        <v>0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SUMIFS('[7]TABLO-1'!U4:U32873,'[7]TABLO-1'!H4:H32873,"=Dağıtım-AG",'[7]TABLO-1'!J4:J32873,"=Güvenlik",'[7]TABLO-1'!K4:K32873,"=Bildirimsiz",'[7]TABLO-1'!I4:I32873,"=Uzun",'[7]TABLO-1'!D4:D32873,"=ÇERKEZKÖY")/P6</f>
        <v>0</v>
      </c>
      <c r="E15" s="10">
        <f>SUMIFS('[7]TABLO-1'!V4:V32873,'[7]TABLO-1'!H4:H32873,"=Dağıtım-AG",'[7]TABLO-1'!J4:J32873,"=Güvenlik",'[7]TABLO-1'!K4:K32873,"=Bildirimsiz",'[7]TABLO-1'!I4:I32873,"=Uzun",'[7]TABLO-1'!D4:D32873,"=ÇERKEZKÖY")/P12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SUMIFS('[7]TABLO-1'!W4:W32873,'[7]TABLO-1'!H4:H32873,"=Dağıtım-AG",'[7]TABLO-1'!J4:J32873,"=Güvenlik",'[7]TABLO-1'!K4:K32873,"=Bildirimsiz",'[7]TABLO-1'!I4:I32873,"=Uzun",'[7]TABLO-1'!D4:D32873,"=ÇERKEZKÖY")/P7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SUMIFS('[7]TABLO-1'!X4:X32873,'[7]TABLO-1'!H4:H32873,"=Dağıtım-AG",'[7]TABLO-1'!J4:J32873,"=Güvenlik",'[7]TABLO-1'!K4:K32873,"=Bildirimsiz",'[7]TABLO-1'!I4:I32873,"=Uzun",'[7]TABLO-1'!D4:D32873,"=ÇERKEZKÖY")/P13</f>
        <v>#DIV/0!</v>
      </c>
      <c r="I15" s="10" t="str">
        <f t="shared" si="1"/>
        <v>0,00</v>
      </c>
      <c r="J15" s="12" t="e">
        <f>SUMIFS('[7]TABLO-1'!Y4:Y32873,'[7]TABLO-1'!H4:H32873,"=Dağıtım-AG",'[7]TABLO-1'!J4:J32873,"=Güvenlik",'[7]TABLO-1'!K4:K32873,"=Bildirimsiz",'[7]TABLO-1'!I4:I32873,"=Uzun",'[7]TABLO-1'!D4:D32873,"=ÇERKEZKÖY")/P8</f>
        <v>#DIV/0!</v>
      </c>
      <c r="K15" s="10" t="e">
        <f>SUMIFS('[7]TABLO-1'!Z4:Z32873,'[7]TABLO-1'!H4:H32873,"=Dağıtım-AG",'[7]TABLO-1'!J4:J32873,"=Güvenlik",'[7]TABLO-1'!K4:K32873,"=Bildirimsiz",'[7]TABLO-1'!I4:I32873,"=Uzun",'[7]TABLO-1'!D4:D32873,"=ÇERKEZKÖY")/P14</f>
        <v>#DIV/0!</v>
      </c>
      <c r="L15" s="10" t="str">
        <f t="shared" si="2"/>
        <v>0,00</v>
      </c>
      <c r="M15" s="11">
        <f t="shared" si="3"/>
        <v>0</v>
      </c>
      <c r="O15" s="6" t="s">
        <v>17</v>
      </c>
      <c r="P15" s="42">
        <f>SUM(P12:P14)</f>
        <v>100449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62.503787878506785</v>
      </c>
      <c r="E16" s="10">
        <f t="shared" si="4"/>
        <v>34.124598552269035</v>
      </c>
      <c r="F16" s="10">
        <f t="shared" si="4"/>
        <v>34.260684149981365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 t="e">
        <f>SUM(J6:J15)</f>
        <v>#DIV/0!</v>
      </c>
      <c r="K16" s="10" t="e">
        <f>SUM(K6:K15)</f>
        <v>#DIV/0!</v>
      </c>
      <c r="L16" s="10">
        <f>SUM(L6:L15)</f>
        <v>0</v>
      </c>
      <c r="M16" s="11">
        <f t="shared" si="4"/>
        <v>34.260684149981365</v>
      </c>
    </row>
    <row r="17" spans="2:16" ht="15" customHeight="1" x14ac:dyDescent="0.25">
      <c r="B17" s="29"/>
      <c r="O17" s="50" t="s">
        <v>37</v>
      </c>
      <c r="P17" s="47">
        <f>P6+P12</f>
        <v>100933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İşletmecisi",'[7]TABLO-1'!K4:K32873,"=Bildirimli",'[7]TABLO-1'!I4:I32873,"=Uzun",'[7]TABLO-1'!D4:D32873,"=ÇERKEZKÖY")/P6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İşletmecisi",'[7]TABLO-1'!K4:K32873,"=Bildirimli",'[7]TABLO-1'!I4:I32873,"=Uzun",'[7]TABLO-1'!D4:D32873,"=ÇERKEZKÖY")/P12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İşletmecisi",'[7]TABLO-1'!K4:K32873,"=Bildirimli",'[7]TABLO-1'!I4:I32873,"=Uzun",'[7]TABLO-1'!D4:D32873,"=ÇERKEZKÖY")/P7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İşletmecisi",'[7]TABLO-1'!K4:K32873,"=Bildirimli",'[7]TABLO-1'!I4:I32873,"=Uzun",'[7]TABLO-1'!D4:D32873,"=ÇERKEZKÖY")/P13</f>
        <v>#DIV/0!</v>
      </c>
      <c r="I21" s="10" t="str">
        <f>IFERROR((((G21*$P$7)+(H21*$P$13))/$P$20),"0,00")</f>
        <v>0,00</v>
      </c>
      <c r="J21" s="10" t="e">
        <f>SUMIFS('[7]TABLO-1'!Y4:Y32873,'[7]TABLO-1'!H4:H32873,"=İletim",'[7]TABLO-1'!J4:J32873,"=Şebeke İşletmecisi",'[7]TABLO-1'!K4:K32873,"=Bildirimli",'[7]TABLO-1'!I4:I32873,"=Uzun",'[7]TABLO-1'!D4:D32873,"=ÇERKEZKÖY")/P8</f>
        <v>#DIV/0!</v>
      </c>
      <c r="K21" s="10" t="e">
        <f>SUMIFS('[7]TABLO-1'!Z4:Z32873,'[7]TABLO-1'!H4:H32873,"=İletim",'[7]TABLO-1'!J4:J32873,"=Şebeke İşletmecisi",'[7]TABLO-1'!K4:K32873,"=Bildirimli",'[7]TABLO-1'!I4:I32873,"=Uzun",'[7]TABLO-1'!D4:D32873,"=ÇERKEZKÖY")/P14</f>
        <v>#DIV/0!</v>
      </c>
      <c r="L21" s="10" t="str">
        <f>IFERROR((((J21*$P$8)+(K21*$P$14))/$P$23),"0,00")</f>
        <v>0,00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İşletmecisi",'[7]TABLO-1'!K4:K32873,"=Bildirimli",'[7]TABLO-1'!I4:I32873,"=Uzun",'[7]TABLO-1'!D4:D32873,"=ÇERKEZKÖY")/P6</f>
        <v>35.988670798734866</v>
      </c>
      <c r="E22" s="10">
        <f>SUMIFS('[7]TABLO-1'!V4:V32873,'[7]TABLO-1'!H4:H32873,"=Dağıtım-OG",'[7]TABLO-1'!J4:J32873,"=Şebeke İşletmecisi",'[7]TABLO-1'!K4:K32873,"=Bildirimli",'[7]TABLO-1'!I4:I32873,"=Uzun",'[7]TABLO-1'!D4:D32873,"=ÇERKEZKÖY")/P12</f>
        <v>18.462254809007764</v>
      </c>
      <c r="F22" s="10">
        <f t="shared" ref="F22:F25" si="5">IFERROR((((D22*$P$6)+(E22*$P$12))/$P$17),"0,00")</f>
        <v>18.54629853443976</v>
      </c>
      <c r="G22" s="10" t="e">
        <f>SUMIFS('[7]TABLO-1'!W4:W32873,'[7]TABLO-1'!H4:H32873,"=Dağıtım-OG",'[7]TABLO-1'!J4:J32873,"=Şebeke İşletmecisi",'[7]TABLO-1'!K4:K32873,"=Bildirimli",'[7]TABLO-1'!I4:I32873,"=Uzun",'[7]TABLO-1'!D4:D32873,"=ÇERKEZKÖY")/P7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İşletmecisi",'[7]TABLO-1'!K4:K32873,"=Bildirimli",'[7]TABLO-1'!I4:I32873,"=Uzun",'[7]TABLO-1'!D4:D32873,"=ÇERKEZKÖY")/P13</f>
        <v>#DIV/0!</v>
      </c>
      <c r="I22" s="10" t="str">
        <f t="shared" ref="I22:I25" si="6">IFERROR((((G22*$P$7)+(H22*$P$13))/$P$20),"0,00")</f>
        <v>0,00</v>
      </c>
      <c r="J22" s="10" t="e">
        <f>SUMIFS('[7]TABLO-1'!Y4:Y32873,'[7]TABLO-1'!H4:H32873,"=Dağıtım-OG",'[7]TABLO-1'!J4:J32873,"=Şebeke İşletmecisi",'[7]TABLO-1'!K4:K32873,"=Bildirimli",'[7]TABLO-1'!I4:I32873,"=Uzun",'[7]TABLO-1'!D4:D32873,"=ÇERKEZKÖY")/P8</f>
        <v>#DIV/0!</v>
      </c>
      <c r="K22" s="10" t="e">
        <f>SUMIFS('[7]TABLO-1'!Z4:Z32873,'[7]TABLO-1'!H4:H32873,"=Dağıtım-OG",'[7]TABLO-1'!J4:J32873,"=Şebeke İşletmecisi",'[7]TABLO-1'!K4:K32873,"=Bildirimli",'[7]TABLO-1'!I4:I32873,"=Uzun",'[7]TABLO-1'!D4:D32873,"=ÇERKEZKÖY")/P14</f>
        <v>#DIV/0!</v>
      </c>
      <c r="L22" s="10" t="str">
        <f t="shared" ref="L22:L25" si="7">IFERROR((((J22*$P$8)+(K22*$P$14))/$P$23),"0,00")</f>
        <v>0,00</v>
      </c>
      <c r="M22" s="11">
        <f t="shared" ref="M22:M25" si="8">IFERROR((((F22*$P$17)+(I22*$P$20)+(L22*$P$23))/$P$26),"0,00")</f>
        <v>18.54629853443976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SUMIFS('[7]TABLO-1'!U4:U32873,'[7]TABLO-1'!H4:H32873,"=Dağıtım-OG",'[7]TABLO-1'!J4:J32873,"=Güvenlik",'[7]TABLO-1'!K4:K32873,"=Bildirimli",'[7]TABLO-1'!I4:I32873,"=Uzun",'[7]TABLO-1'!D4:D32873,"=ÇERKEZKÖY")/P6</f>
        <v>0</v>
      </c>
      <c r="E23" s="10">
        <f>SUMIFS('[7]TABLO-1'!V4:V32873,'[7]TABLO-1'!H4:H32873,"=Dağıtım-OG",'[7]TABLO-1'!J4:J32873,"=Güvenlik",'[7]TABLO-1'!K4:K32873,"=Bildirimli",'[7]TABLO-1'!I4:I32873,"=Uzun",'[7]TABLO-1'!D4:D32873,"=ÇERKEZKÖY")/P12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SUMIFS('[7]TABLO-1'!W4:W32873,'[7]TABLO-1'!H4:H32873,"=Dağıtım-OG",'[7]TABLO-1'!J4:J32873,"=Güvenlik",'[7]TABLO-1'!K4:K32873,"=Bildirimli",'[7]TABLO-1'!I4:I32873,"=Uzun",'[7]TABLO-1'!D4:D32873,"=ÇERKEZKÖY")/P7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SUMIFS('[7]TABLO-1'!X4:X32873,'[7]TABLO-1'!H4:H32873,"=Dağıtım-OG",'[7]TABLO-1'!J4:J32873,"=Güvenlik",'[7]TABLO-1'!K4:K32873,"=Bildirimli",'[7]TABLO-1'!I4:I32873,"=Uzun",'[7]TABLO-1'!D4:D32873,"=ÇERKEZKÖY")/P13</f>
        <v>#DIV/0!</v>
      </c>
      <c r="I23" s="10" t="str">
        <f t="shared" si="6"/>
        <v>0,00</v>
      </c>
      <c r="J23" s="10" t="e">
        <f>SUMIFS('[7]TABLO-1'!Y4:Y32873,'[7]TABLO-1'!H4:H32873,"=Dağıtım-OG",'[7]TABLO-1'!J4:J32873,"=Güvenlik",'[7]TABLO-1'!K4:K32873,"=Bildirimli",'[7]TABLO-1'!I4:I32873,"=Uzun",'[7]TABLO-1'!D4:D32873,"=ÇERKEZKÖY")/P8</f>
        <v>#DIV/0!</v>
      </c>
      <c r="K23" s="10" t="e">
        <f>SUMIFS('[7]TABLO-1'!Z4:Z32873,'[7]TABLO-1'!H4:H32873,"=Dağıtım-OG",'[7]TABLO-1'!J4:J32873,"=Güvenlik",'[7]TABLO-1'!K4:K32873,"=Bildirimli",'[7]TABLO-1'!I4:I32873,"=Uzun",'[7]TABLO-1'!D4:D32873,"=ÇERKEZKÖY")/P14</f>
        <v>#DIV/0!</v>
      </c>
      <c r="L23" s="10" t="str">
        <f t="shared" si="7"/>
        <v>0,00</v>
      </c>
      <c r="M23" s="11">
        <f t="shared" si="8"/>
        <v>0</v>
      </c>
      <c r="O23" s="43" t="s">
        <v>39</v>
      </c>
      <c r="P23" s="47">
        <f>P8+P14</f>
        <v>0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İşletmecisi",'[7]TABLO-1'!K4:K32873,"=Bildirimli",'[7]TABLO-1'!I4:I32873,"=Uzun",'[7]TABLO-1'!D4:D32873,"=ÇERKEZKÖY")/P6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İşletmecisi",'[7]TABLO-1'!K4:K32873,"=Bildirimli",'[7]TABLO-1'!I4:I32873,"=Uzun",'[7]TABLO-1'!D4:D32873,"=ÇERKEZKÖY")/P12</f>
        <v>0.45103916748701889</v>
      </c>
      <c r="F24" s="10">
        <f t="shared" si="5"/>
        <v>0.44887631730854682</v>
      </c>
      <c r="G24" s="12" t="e">
        <f>SUMIFS('[7]TABLO-1'!W4:W32873,'[7]TABLO-1'!H4:H32873,"=Dağıtım-AG",'[7]TABLO-1'!J4:J32873,"=Şebeke İşletmecisi",'[7]TABLO-1'!K4:K32873,"=Bildirimli",'[7]TABLO-1'!I4:I32873,"=Uzun",'[7]TABLO-1'!D4:D32873,"=ÇERKEZKÖY")/P7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İşletmecisi",'[7]TABLO-1'!K4:K32873,"=Bildirimli",'[7]TABLO-1'!I4:I32873,"=Uzun",'[7]TABLO-1'!D4:D32873,"=ÇERKEZKÖY")/P13</f>
        <v>#DIV/0!</v>
      </c>
      <c r="I24" s="10" t="str">
        <f t="shared" si="6"/>
        <v>0,00</v>
      </c>
      <c r="J24" s="12" t="e">
        <f>SUMIFS('[7]TABLO-1'!Y4:Y32873,'[7]TABLO-1'!H4:H32873,"=Dağıtım-AG",'[7]TABLO-1'!J4:J32873,"=Şebeke İşletmecisi",'[7]TABLO-1'!K4:K32873,"=Bildirimli",'[7]TABLO-1'!I4:I32873,"=Uzun",'[7]TABLO-1'!D4:D32873,"=ÇERKEZKÖY")/P8</f>
        <v>#DIV/0!</v>
      </c>
      <c r="K24" s="10" t="e">
        <f>SUMIFS('[7]TABLO-1'!Z4:Z32873,'[7]TABLO-1'!H4:H32873,"=Dağıtım-AG",'[7]TABLO-1'!J4:J32873,"=Şebeke İşletmecisi",'[7]TABLO-1'!K4:K32873,"=Bildirimli",'[7]TABLO-1'!I4:I32873,"=Uzun",'[7]TABLO-1'!D4:D32873,"=ÇERKEZKÖY")/P14</f>
        <v>#DIV/0!</v>
      </c>
      <c r="L24" s="10" t="str">
        <f t="shared" si="7"/>
        <v>0,00</v>
      </c>
      <c r="M24" s="11">
        <f t="shared" si="8"/>
        <v>0.44887631730854682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SUMIFS('[7]TABLO-1'!U4:U32873,'[7]TABLO-1'!H4:H32873,"=Dağıtım-AG",'[7]TABLO-1'!J4:J32873,"=Güvenlik",'[7]TABLO-1'!K4:K32873,"=Bildirimli",'[7]TABLO-1'!I4:I32873,"=Uzun",'[7]TABLO-1'!D4:D32873,"=ÇERKEZKÖY")/P6</f>
        <v>0</v>
      </c>
      <c r="E25" s="10">
        <f>SUMIFS('[7]TABLO-1'!V4:V32873,'[7]TABLO-1'!H4:H32873,"=Dağıtım-AG",'[7]TABLO-1'!J4:J32873,"=Güvenlik",'[7]TABLO-1'!K4:K32873,"=Bildirimli",'[7]TABLO-1'!I4:I32873,"=Uzun",'[7]TABLO-1'!D4:D32873,"=ÇERKEZKÖY")/P12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SUMIFS('[7]TABLO-1'!W4:W32873,'[7]TABLO-1'!H4:H32873,"=Dağıtım-AG",'[7]TABLO-1'!J4:J32873,"=Güvenlik",'[7]TABLO-1'!K4:K32873,"=Bildirimli",'[7]TABLO-1'!I4:I32873,"=Uzun",'[7]TABLO-1'!D4:D32873,"=ÇERKEZKÖY")/P7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SUMIFS('[7]TABLO-1'!X4:X32873,'[7]TABLO-1'!H4:H32873,"=Dağıtım-AG",'[7]TABLO-1'!J4:J32873,"=Güvenlik",'[7]TABLO-1'!K4:K32873,"=Bildirimli",'[7]TABLO-1'!I4:I32873,"=Uzun",'[7]TABLO-1'!D4:D32873,"=ÇERKEZKÖY")/P13</f>
        <v>#DIV/0!</v>
      </c>
      <c r="I25" s="10" t="str">
        <f t="shared" si="6"/>
        <v>0,00</v>
      </c>
      <c r="J25" s="12" t="e">
        <f>SUMIFS('[7]TABLO-1'!Y4:Y32873,'[7]TABLO-1'!H4:H32873,"=Dağıtım-AG",'[7]TABLO-1'!J4:J32873,"=Güvenlik",'[7]TABLO-1'!K4:K32873,"=Bildirimli",'[7]TABLO-1'!I4:I32873,"=Uzun",'[7]TABLO-1'!D4:D32873,"=ÇERKEZKÖY")/P8</f>
        <v>#DIV/0!</v>
      </c>
      <c r="K25" s="10" t="e">
        <f>SUMIFS('[7]TABLO-1'!Z4:Z32873,'[7]TABLO-1'!H4:H32873,"=Dağıtım-AG",'[7]TABLO-1'!J4:J32873,"=Güvenlik",'[7]TABLO-1'!K4:K32873,"=Bildirimli",'[7]TABLO-1'!I4:I32873,"=Uzun",'[7]TABLO-1'!D4:D32873,"=ÇERKEZKÖY")/P14</f>
        <v>#DIV/0!</v>
      </c>
      <c r="L25" s="10" t="str">
        <f t="shared" si="7"/>
        <v>0,00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35.988670798734866</v>
      </c>
      <c r="E26" s="10">
        <f t="shared" ref="E26:M26" si="9">SUM(E21:E25)</f>
        <v>18.913293976494781</v>
      </c>
      <c r="F26" s="10">
        <f t="shared" si="9"/>
        <v>18.995174851748306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 t="e">
        <f t="shared" si="9"/>
        <v>#DIV/0!</v>
      </c>
      <c r="K26" s="10" t="e">
        <f t="shared" si="9"/>
        <v>#DIV/0!</v>
      </c>
      <c r="L26" s="10">
        <f t="shared" si="9"/>
        <v>0</v>
      </c>
      <c r="M26" s="11">
        <f t="shared" si="9"/>
        <v>18.995174851748306</v>
      </c>
      <c r="O26" s="43" t="s">
        <v>22</v>
      </c>
      <c r="P26" s="44">
        <f>P20+P17+P23</f>
        <v>100933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İşletmecisi",'[7]TABLO-1'!K4:K32873,"=Bildirimsiz",'[7]TABLO-1'!I4:I32873,"=Uzun",'[7]TABLO-1'!D4:D32873,"=ÇERKEZKÖY")/P6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İşletmecisi",'[7]TABLO-1'!K4:K32873,"=Bildirimsiz",'[7]TABLO-1'!I4:I32873,"=Uzun",'[7]TABLO-1'!D4:D32873,"=ÇERKEZKÖY")/P12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İşletmecisi",'[7]TABLO-1'!K4:K32873,"=Bildirimsiz",'[7]TABLO-1'!I4:I32873,"=Uzun",'[7]TABLO-1'!D4:D32873,"=ÇERKEZKÖY")/P7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İşletmecisi",'[7]TABLO-1'!K4:K32873,"=Bildirimsiz",'[7]TABLO-1'!I4:I32873,"=Uzun",'[7]TABLO-1'!D4:D32873,"=ÇERKEZKÖY")/P13</f>
        <v>#DIV/0!</v>
      </c>
      <c r="I31" s="10" t="str">
        <f>IFERROR((((G31*$P$7)+(H31*$P$13))/$P$20),"0,00")</f>
        <v>0,00</v>
      </c>
      <c r="J31" s="10" t="e">
        <f>SUMIFS('[7]TABLO-1'!S4:S32873,'[7]TABLO-1'!H4:H32873,"=İletim",'[7]TABLO-1'!J4:J32873,"=Şebeke İşletmecisi",'[7]TABLO-1'!K4:K32873,"=Bildirimsiz",'[7]TABLO-1'!I4:I32873,"=Uzun",'[7]TABLO-1'!D4:D32873,"=ÇERKEZKÖY")/P8</f>
        <v>#DIV/0!</v>
      </c>
      <c r="K31" s="10" t="e">
        <f>SUMIFS('[7]TABLO-1'!T4:T32873,'[7]TABLO-1'!H4:H32873,"=İletim",'[7]TABLO-1'!J4:J32873,"=Şebeke İşletmecisi",'[7]TABLO-1'!K4:K32873,"=bildirimsiz",'[7]TABLO-1'!I4:I32873,"=Uzun",'[7]TABLO-1'!D4:D32873,"=ÇERKEZKÖY")/P14</f>
        <v>#DIV/0!</v>
      </c>
      <c r="L31" s="10" t="str">
        <f>IFERROR((((J31*$P$8)+(K31*$P$14))/$P$23),"0,00")</f>
        <v>0,00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Sebep",'[7]TABLO-1'!K4:K32873,"=Bildirimsiz",'[7]TABLO-1'!I4:I32873,"=Uzun",'[7]TABLO-1'!D4:D32873,"=ÇERKEZKÖY")/P6</f>
        <v>0</v>
      </c>
      <c r="E32" s="10">
        <f>SUMIFS('[7]TABLO-1'!P4:P32873,'[7]TABLO-1'!H4:H32873,"=İletim",'[7]TABLO-1'!J4:J32873,"=Mücbir Sebep",'[7]TABLO-1'!K4:K32873,"=Bildirimsiz",'[7]TABLO-1'!I4:I32873,"=Uzun",'[7]TABLO-1'!D4:D32873,"=ÇERKEZKÖY")/P12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Sebep",'[7]TABLO-1'!K4:K32873,"=Bildirimsiz",'[7]TABLO-1'!I4:I32873,"=Uzun",'[7]TABLO-1'!D4:D32873,"=ÇERKEZKÖY")/P7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Sebep",'[7]TABLO-1'!K4:K32873,"=Bildirimsiz",'[7]TABLO-1'!I4:I32873,"=Uzun",'[7]TABLO-1'!D4:D32873,"=ÇERKEZKÖY")/P13</f>
        <v>#DIV/0!</v>
      </c>
      <c r="I32" s="10" t="str">
        <f t="shared" ref="I32:I40" si="11">IFERROR((((G32*$P$7)+(H32*$P$13))/$P$20),"0,00")</f>
        <v>0,00</v>
      </c>
      <c r="J32" s="10" t="e">
        <f>SUMIFS('[7]TABLO-1'!S4:S32873,'[7]TABLO-1'!H4:H32873,"=İletim",'[7]TABLO-1'!J4:J32873,"=Mücbir Sebep",'[7]TABLO-1'!K4:K32873,"=Bildirimsiz",'[7]TABLO-1'!I4:I32873,"=Uzun",'[7]TABLO-1'!D4:D32873,"=ÇERKEZKÖY")/P8</f>
        <v>#DIV/0!</v>
      </c>
      <c r="K32" s="10" t="e">
        <f>SUMIFS('[7]TABLO-1'!T4:T32873,'[7]TABLO-1'!H4:H32873,"=İletim",'[7]TABLO-1'!J4:J32873,"=Mücbir Sebep",'[7]TABLO-1'!K4:K32873,"=bildirimsiz",'[7]TABLO-1'!I4:I32873,"=Uzun",'[7]TABLO-1'!D4:D32873,"=ÇERKEZKÖY")/P14</f>
        <v>#DIV/0!</v>
      </c>
      <c r="L32" s="10" t="str">
        <f t="shared" ref="L32:L40" si="12">IFERROR((((J32*$P$8)+(K32*$P$14))/$P$23),"0,00")</f>
        <v>0,00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İşletmecisi",'[7]TABLO-1'!K4:K32873,"=Bildirimsiz",'[7]TABLO-1'!I4:I32873,"=Uzun",'[7]TABLO-1'!D4:D32873,"=ÇERKEZKÖY")/P6</f>
        <v>0.76239669421487599</v>
      </c>
      <c r="E33" s="10">
        <f>SUMIFS('[7]TABLO-1'!P4:P32873,'[7]TABLO-1'!H4:H32873,"=Dağıtım-OG",'[7]TABLO-1'!J4:J32873,"=Şebeke İşletmecisi",'[7]TABLO-1'!K4:K32873,"=Bildirimsiz",'[7]TABLO-1'!I4:I32873,"=Uzun",'[7]TABLO-1'!D4:D32873,"=ÇERKEZKÖY")/P12</f>
        <v>0.89710201196627148</v>
      </c>
      <c r="F33" s="10">
        <f t="shared" si="10"/>
        <v>0.89645606491434915</v>
      </c>
      <c r="G33" s="10" t="e">
        <f>SUMIFS('[7]TABLO-1'!Q4:Q32873,'[7]TABLO-1'!H4:H32873,"=Dağıtım-OG",'[7]TABLO-1'!J4:J32873,"=Şebeke İşletmecisi",'[7]TABLO-1'!K4:K32873,"=Bildirimsiz",'[7]TABLO-1'!I4:I32873,"=Uzun",'[7]TABLO-1'!D4:D32873,"=ÇERKEZKÖY")/P7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İşletmecisi",'[7]TABLO-1'!K4:K32873,"=Bildirimsiz",'[7]TABLO-1'!I4:I32873,"=Uzun",'[7]TABLO-1'!D4:D32873,"=ÇERKEZKÖY")/P13</f>
        <v>#DIV/0!</v>
      </c>
      <c r="I33" s="10" t="str">
        <f t="shared" si="11"/>
        <v>0,00</v>
      </c>
      <c r="J33" s="10" t="e">
        <f>SUMIFS('[7]TABLO-1'!S4:S32873,'[7]TABLO-1'!H4:H32873,"=Dağıtım-OG",'[7]TABLO-1'!J4:J32873,"=Şebeke İşletmecisi",'[7]TABLO-1'!K4:K32873,"=Bildirimsiz",'[7]TABLO-1'!I4:I32873,"=Uzun",'[7]TABLO-1'!D4:D32873,"=ÇERKEZKÖY")/P8</f>
        <v>#DIV/0!</v>
      </c>
      <c r="K33" s="10" t="e">
        <f>SUMIFS('[7]TABLO-1'!T4:T32873,'[7]TABLO-1'!H4:H32873,"=Dağıtım-OG",'[7]TABLO-1'!J4:J32873,"=Şebeke İşletmecisi",'[7]TABLO-1'!K4:K32873,"=bildirimsiz",'[7]TABLO-1'!I4:I32873,"=Uzun",'[7]TABLO-1'!D4:D32873,"=ÇERKEZKÖY")/P14</f>
        <v>#DIV/0!</v>
      </c>
      <c r="L33" s="10" t="str">
        <f t="shared" si="12"/>
        <v>0,00</v>
      </c>
      <c r="M33" s="11">
        <f t="shared" si="13"/>
        <v>0.89645606491434915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SUMIFS('[7]TABLO-1'!O4:O32873,'[7]TABLO-1'!H4:H32873,"=Dağıtım-OG",'[7]TABLO-1'!J4:J32873,"=Dışsal",'[7]TABLO-1'!K4:K32873,"=Bildirimsiz",'[7]TABLO-1'!I4:I32873,"=Uzun",'[7]TABLO-1'!D4:D32873,"=ÇERKEZKÖY")/P6</f>
        <v>5.1652892561983473E-2</v>
      </c>
      <c r="E34" s="10">
        <f>SUMIFS('[7]TABLO-1'!P4:P32873,'[7]TABLO-1'!H4:H32873,"=Dağıtım-OG",'[7]TABLO-1'!J4:J32873,"=Dışsal",'[7]TABLO-1'!K4:K32873,"=Bildirimsiz",'[7]TABLO-1'!I4:I32873,"=Uzun",'[7]TABLO-1'!D4:D32873,"=ÇERKEZKÖY")/P12</f>
        <v>0</v>
      </c>
      <c r="F34" s="10">
        <f t="shared" si="10"/>
        <v>2.4768906106030736E-4</v>
      </c>
      <c r="G34" s="10" t="e">
        <f>SUMIFS('[7]TABLO-1'!Q4:Q32873,'[7]TABLO-1'!H4:H32873,"=Dağıtım-OG",'[7]TABLO-1'!J4:J32873,"=Dışsal",'[7]TABLO-1'!K4:K32873,"=Bildirimsiz",'[7]TABLO-1'!I4:I32873,"=Uzun",'[7]TABLO-1'!D4:D32873,"=ÇERKEZKÖY")/P7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SUMIFS('[7]TABLO-1'!R4:R32873,'[7]TABLO-1'!H4:H32873,"=Dağıtım-OG",'[7]TABLO-1'!J4:J32873,"=Dışsal",'[7]TABLO-1'!K4:K32873,"=Bildirimsiz",'[7]TABLO-1'!I4:I32873,"=Uzun",'[7]TABLO-1'!D4:D32873,"=ÇERKEZKÖY")/P13</f>
        <v>#DIV/0!</v>
      </c>
      <c r="I34" s="10" t="str">
        <f t="shared" si="11"/>
        <v>0,00</v>
      </c>
      <c r="J34" s="10" t="e">
        <f>SUMIFS('[7]TABLO-1'!S4:S32873,'[7]TABLO-1'!H4:H32873,"=Dağıtım-OG",'[7]TABLO-1'!J4:J32873,"=Dışsal",'[7]TABLO-1'!K4:K32873,"=Bildirimsiz",'[7]TABLO-1'!I4:I32873,"=Uzun",'[7]TABLO-1'!D4:D32873,"=ÇERKEZKÖY")/P8</f>
        <v>#DIV/0!</v>
      </c>
      <c r="K34" s="10" t="e">
        <f>SUMIFS('[7]TABLO-1'!T4:T32873,'[7]TABLO-1'!H4:H32873,"=Dağıtım-OG",'[7]TABLO-1'!J4:J32873,"=Dışsal",'[7]TABLO-1'!K4:K32873,"=bildirimsiz",'[7]TABLO-1'!I4:I32873,"=Uzun",'[7]TABLO-1'!D4:D32873,"=ÇERKEZKÖY")/P14</f>
        <v>#DIV/0!</v>
      </c>
      <c r="L34" s="10" t="str">
        <f t="shared" si="12"/>
        <v>0,00</v>
      </c>
      <c r="M34" s="11">
        <f t="shared" si="13"/>
        <v>2.4768906106030736E-4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Sebep",'[7]TABLO-1'!K4:K32873,"=Bildirimsiz",'[7]TABLO-1'!I4:I32873,"=Uzun",'[7]TABLO-1'!D4:D32873,"=ÇERKEZKÖY")/P6</f>
        <v>0</v>
      </c>
      <c r="E35" s="10">
        <f>SUMIFS('[7]TABLO-1'!P4:P32873,'[7]TABLO-1'!H4:H32873,"=Dağıtım-OG",'[7]TABLO-1'!J4:J32873,"=Mücbir Sebep",'[7]TABLO-1'!K4:K32873,"=Bildirimsiz",'[7]TABLO-1'!I4:I32873,"=Uzun",'[7]TABLO-1'!D4:D32873,"=ÇERKEZKÖY")/P12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Sebep",'[7]TABLO-1'!K4:K32873,"=Bildirimsiz",'[7]TABLO-1'!I4:I32873,"=Uzun",'[7]TABLO-1'!D4:D32873,"=ÇERKEZKÖY")/P7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Sebep",'[7]TABLO-1'!K4:K32873,"=Bildirimsiz",'[7]TABLO-1'!I4:I32873,"=Uzun",'[7]TABLO-1'!D4:D32873,"=ÇERKEZKÖY")/P13</f>
        <v>#DIV/0!</v>
      </c>
      <c r="I35" s="10" t="str">
        <f t="shared" si="11"/>
        <v>0,00</v>
      </c>
      <c r="J35" s="10" t="e">
        <f>SUMIFS('[7]TABLO-1'!S4:S32873,'[7]TABLO-1'!H4:H32873,"=Dağıtım-OG",'[7]TABLO-1'!J4:J32873,"=Mücbir Sebep",'[7]TABLO-1'!K4:K32873,"=Bildirimsiz",'[7]TABLO-1'!I4:I32873,"=Uzun",'[7]TABLO-1'!D4:D32873,"=ÇERKEZKÖY")/P8</f>
        <v>#DIV/0!</v>
      </c>
      <c r="K35" s="10" t="e">
        <f>SUMIFS('[7]TABLO-1'!T4:T32873,'[7]TABLO-1'!H4:H32873,"=Dağıtım-OG",'[7]TABLO-1'!J4:J32873,"=Mücbir Sebep",'[7]TABLO-1'!K4:K32873,"=bildirimsiz",'[7]TABLO-1'!I4:I32873,"=Uzun",'[7]TABLO-1'!D4:D32873,"=ÇERKEZKÖY")/P14</f>
        <v>#DIV/0!</v>
      </c>
      <c r="L35" s="10" t="str">
        <f t="shared" si="12"/>
        <v>0,00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SUMIFS('[7]TABLO-1'!O4:O32873,'[7]TABLO-1'!H4:H32873,"=Dağıtım-OG",'[7]TABLO-1'!J4:J32873,"=Güvenlik",'[7]TABLO-1'!K4:K32873,"=Bildirimsiz",'[7]TABLO-1'!I4:I32873,"=Uzun",'[7]TABLO-1'!D4:D32873,"=ÇERKEZKÖY")/P6</f>
        <v>0</v>
      </c>
      <c r="E36" s="10">
        <f>SUMIFS('[7]TABLO-1'!P4:P32873,'[7]TABLO-1'!H4:H32873,"=Dağıtım-OG",'[7]TABLO-1'!J4:J32873,"=Güvenlik",'[7]TABLO-1'!K4:K32873,"=Bildirimsiz",'[7]TABLO-1'!I4:I32873,"=Uzun",'[7]TABLO-1'!D4:D32873,"=ÇERKEZKÖY")/P12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SUMIFS('[7]TABLO-1'!Q4:Q32873,'[7]TABLO-1'!H4:H32873,"=Dağıtım-OG",'[7]TABLO-1'!J4:J32873,"=Güvenlik",'[7]TABLO-1'!K4:K32873,"=Bildirimsiz",'[7]TABLO-1'!I4:I32873,"=Uzun",'[7]TABLO-1'!D4:D32873,"=ÇERKEZKÖY")/P7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SUMIFS('[7]TABLO-1'!R4:R32873,'[7]TABLO-1'!H4:H32873,"=Dağıtım-OG",'[7]TABLO-1'!J4:J32873,"=Güvenlik",'[7]TABLO-1'!K4:K32873,"=Bildirimsiz",'[7]TABLO-1'!I4:I32873,"=Uzun",'[7]TABLO-1'!D4:D32873,"=ÇERKEZKÖY")/P13</f>
        <v>#DIV/0!</v>
      </c>
      <c r="I36" s="10" t="str">
        <f t="shared" si="11"/>
        <v>0,00</v>
      </c>
      <c r="J36" s="10" t="e">
        <f>SUMIFS('[7]TABLO-1'!S4:S32873,'[7]TABLO-1'!H4:H32873,"=Dağıtım-OG",'[7]TABLO-1'!J4:J32873,"=Güvenlik",'[7]TABLO-1'!K4:K32873,"=Bildirimsiz",'[7]TABLO-1'!I4:I32873,"=Uzun",'[7]TABLO-1'!D4:D32873,"=ÇERKEZKÖY")/P8</f>
        <v>#DIV/0!</v>
      </c>
      <c r="K36" s="10" t="e">
        <f>SUMIFS('[7]TABLO-1'!T4:T32873,'[7]TABLO-1'!H4:H32873,"=Dağıtım-OG",'[7]TABLO-1'!J4:J32873,"=Güvenlik",'[7]TABLO-1'!K4:K32873,"=bildirimsiz",'[7]TABLO-1'!I4:I32873,"=Uzun",'[7]TABLO-1'!D4:D32873,"=ÇERKEZKÖY")/P14</f>
        <v>#DIV/0!</v>
      </c>
      <c r="L36" s="10" t="str">
        <f t="shared" si="12"/>
        <v>0,00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İşletmecisi",'[7]TABLO-1'!K4:K32873,"=Bildirimsiz",'[7]TABLO-1'!I4:I32873,"=Uzun",'[7]TABLO-1'!D4:D32873,"=ÇERKEZKÖY")/P6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İşletmecisi",'[7]TABLO-1'!K4:K32873,"=Bildirimsiz",'[7]TABLO-1'!I4:I32873,"=Uzun",'[7]TABLO-1'!D4:D32873,"=ÇERKEZKÖY")/P12</f>
        <v>3.5321406883094902E-2</v>
      </c>
      <c r="F37" s="10">
        <f t="shared" si="10"/>
        <v>3.5152031545678815E-2</v>
      </c>
      <c r="G37" s="12" t="e">
        <f>SUMIFS('[7]TABLO-1'!Q4:Q32873,'[7]TABLO-1'!H4:H32873,"=Dağıtım-AG",'[7]TABLO-1'!J4:J32873,"=Şebeke İşletmecisi",'[7]TABLO-1'!K4:K32873,"=Bildirimsiz",'[7]TABLO-1'!I4:I32873,"=Uzun",'[7]TABLO-1'!D4:D32873,"=ÇERKEZKÖY")/P7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İşletmecisi",'[7]TABLO-1'!K4:K32873,"=Bildirimsiz",'[7]TABLO-1'!I4:I32873,"=Uzun",'[7]TABLO-1'!D4:D32873,"=ÇERKEZKÖY")/P13</f>
        <v>#DIV/0!</v>
      </c>
      <c r="I37" s="10" t="str">
        <f t="shared" si="11"/>
        <v>0,00</v>
      </c>
      <c r="J37" s="12" t="e">
        <f>SUMIFS('[7]TABLO-1'!S4:S32873,'[7]TABLO-1'!H4:H32873,"=Dağıtım-AG",'[7]TABLO-1'!J4:J32873,"=Şebeke İşletmecisi",'[7]TABLO-1'!K4:K32873,"=Bildirimsiz",'[7]TABLO-1'!I4:I32873,"=Uzun",'[7]TABLO-1'!D4:D32873,"=ÇERKEZKÖY")/P8</f>
        <v>#DIV/0!</v>
      </c>
      <c r="K37" s="10" t="e">
        <f>SUMIFS('[7]TABLO-1'!T4:T32873,'[7]TABLO-1'!H4:H32873,"=Dağıtım-AG",'[7]TABLO-1'!J4:J32873,"=Şebeke İşletmecisi",'[7]TABLO-1'!K4:K32873,"=bildirimsiz",'[7]TABLO-1'!I4:I32873,"=Uzun",'[7]TABLO-1'!D4:D32873,"=ÇERKEZKÖY")/P14</f>
        <v>#DIV/0!</v>
      </c>
      <c r="L37" s="10" t="str">
        <f t="shared" si="12"/>
        <v>0,00</v>
      </c>
      <c r="M37" s="11">
        <f t="shared" si="13"/>
        <v>3.5152031545678815E-2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SUMIFS('[7]TABLO-1'!O4:O32873,'[7]TABLO-1'!H4:H32873,"=Dağıtım-AG",'[7]TABLO-1'!J4:J32873,"=Dışsal",'[7]TABLO-1'!K4:K32873,"=Bildirimsiz",'[7]TABLO-1'!I4:I32873,"=Uzun",'[7]TABLO-1'!D4:D32873,"=ÇERKEZKÖY")/P6</f>
        <v>0</v>
      </c>
      <c r="E38" s="10">
        <f>SUMIFS('[7]TABLO-1'!P4:P32873,'[7]TABLO-1'!H4:H32873,"=Dağıtım-AG",'[7]TABLO-1'!J4:J32873,"=Dışsal",'[7]TABLO-1'!K4:K32873,"=Bildirimsiz",'[7]TABLO-1'!I4:I32873,"=Uzun",'[7]TABLO-1'!D4:D32873,"=ÇERKEZKÖY")/P12</f>
        <v>6.2519288395105977E-3</v>
      </c>
      <c r="F38" s="10">
        <f t="shared" si="10"/>
        <v>6.2219492138349203E-3</v>
      </c>
      <c r="G38" s="12" t="e">
        <f>SUMIFS('[7]TABLO-1'!Q4:Q32873,'[7]TABLO-1'!H4:H32873,"=Dağıtım-AG",'[7]TABLO-1'!J4:J32873,"=Dışsal",'[7]TABLO-1'!K4:K32873,"=Bildirimsiz",'[7]TABLO-1'!I4:I32873,"=Uzun",'[7]TABLO-1'!D4:D32873,"=ÇERKEZKÖY")/P7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SUMIFS('[7]TABLO-1'!R4:R32873,'[7]TABLO-1'!H4:H32873,"=Dağıtım-AG",'[7]TABLO-1'!J4:J32873,"=Dışsal",'[7]TABLO-1'!K4:K32873,"=Bildirimsiz",'[7]TABLO-1'!I4:I32873,"=Uzun",'[7]TABLO-1'!D4:D32873,"=ÇERKEZKÖY")/P13</f>
        <v>#DIV/0!</v>
      </c>
      <c r="I38" s="10" t="str">
        <f t="shared" si="11"/>
        <v>0,00</v>
      </c>
      <c r="J38" s="12" t="e">
        <f>SUMIFS('[7]TABLO-1'!S4:S32873,'[7]TABLO-1'!H4:H32873,"=Dağıtım-AG",'[7]TABLO-1'!J4:J32873,"=Dışsal",'[7]TABLO-1'!K4:K32873,"=Bildirimsiz",'[7]TABLO-1'!I4:I32873,"=Uzun",'[7]TABLO-1'!D4:D32873,"=ÇERKEZKÖY")/P8</f>
        <v>#DIV/0!</v>
      </c>
      <c r="K38" s="10" t="e">
        <f>SUMIFS('[7]TABLO-1'!T4:T32873,'[7]TABLO-1'!H4:H32873,"=Dağıtım-AG",'[7]TABLO-1'!J4:J32873,"=Dışsal",'[7]TABLO-1'!K4:K32873,"=bildirimsiz",'[7]TABLO-1'!I4:I32873,"=Uzun",'[7]TABLO-1'!D4:D32873,"=ÇERKEZKÖY")/P14</f>
        <v>#DIV/0!</v>
      </c>
      <c r="L38" s="10" t="str">
        <f t="shared" si="12"/>
        <v>0,00</v>
      </c>
      <c r="M38" s="11">
        <f t="shared" si="13"/>
        <v>6.2219492138349203E-3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Sebep",'[7]TABLO-1'!K4:K32873,"=Bildirimsiz",'[7]TABLO-1'!I4:I32873,"=Uzun",'[7]TABLO-1'!D4:D32873,"=ÇERKEZKÖY")/P6</f>
        <v>0</v>
      </c>
      <c r="E39" s="10">
        <f>SUMIFS('[7]TABLO-1'!P4:P32873,'[7]TABLO-1'!H4:H32873,"=Dağıtım-AG",'[7]TABLO-1'!J4:J32873,"=Mücbir Sebep",'[7]TABLO-1'!K4:K32873,"=Bildirimsiz",'[7]TABLO-1'!I4:I32873,"=Uzun",'[7]TABLO-1'!D4:D32873,"=ÇERKEZKÖY")/P12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Sebep",'[7]TABLO-1'!K4:K32873,"=Bildirimsiz",'[7]TABLO-1'!I4:I32873,"=Uzun",'[7]TABLO-1'!D4:D32873,"=ÇERKEZKÖY")/P7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Sebep",'[7]TABLO-1'!K4:K32873,"=Bildirimsiz",'[7]TABLO-1'!I4:I32873,"=Uzun",'[7]TABLO-1'!D4:D32873,"=ÇERKEZKÖY")/P13</f>
        <v>#DIV/0!</v>
      </c>
      <c r="I39" s="10" t="str">
        <f t="shared" si="11"/>
        <v>0,00</v>
      </c>
      <c r="J39" s="12" t="e">
        <f>SUMIFS('[7]TABLO-1'!S4:S32873,'[7]TABLO-1'!H4:H32873,"=Dağıtım-AG",'[7]TABLO-1'!J4:J32873,"=Mücbir Sebep",'[7]TABLO-1'!K4:K32873,"=Bildirimsiz",'[7]TABLO-1'!I4:I32873,"=Uzun",'[7]TABLO-1'!D4:D32873,"=ÇERKEZKÖY")/P8</f>
        <v>#DIV/0!</v>
      </c>
      <c r="K39" s="10" t="e">
        <f>SUMIFS('[7]TABLO-1'!T4:T32873,'[7]TABLO-1'!H4:H32873,"=Dağıtım-AG",'[7]TABLO-1'!J4:J32873,"=Mücbir Sebep",'[7]TABLO-1'!K4:K32873,"=bildirimsiz",'[7]TABLO-1'!I4:I32873,"=Uzun",'[7]TABLO-1'!D4:D32873,"=ÇERKEZKÖY")/P14</f>
        <v>#DIV/0!</v>
      </c>
      <c r="L39" s="10" t="str">
        <f t="shared" si="12"/>
        <v>0,00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SUMIFS('[7]TABLO-1'!O4:O32873,'[7]TABLO-1'!H4:H32873,"=Dağıtım-AG",'[7]TABLO-1'!J4:J32873,"=Güvenlik",'[7]TABLO-1'!K4:K32873,"=Bildirimsiz",'[7]TABLO-1'!I4:I32873,"=Uzun",'[7]TABLO-1'!D4:D32873,"=ÇERKEZKÖY")/P6</f>
        <v>0</v>
      </c>
      <c r="E40" s="10">
        <f>SUMIFS('[7]TABLO-1'!P4:P32873,'[7]TABLO-1'!H4:H32873,"=Dağıtım-AG",'[7]TABLO-1'!J4:J32873,"=Güvenlik",'[7]TABLO-1'!K4:K32873,"=Bildirimsiz",'[7]TABLO-1'!I4:I32873,"=Uzun",'[7]TABLO-1'!D4:D32873,"=ÇERKEZKÖY")/P12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SUMIFS('[7]TABLO-1'!Q4:Q32873,'[7]TABLO-1'!H4:H32873,"=Dağıtım-AG",'[7]TABLO-1'!J4:J32873,"=Güvenlik",'[7]TABLO-1'!K4:K32873,"=Bildirimsiz",'[7]TABLO-1'!I4:I32873,"=Uzun",'[7]TABLO-1'!D4:D32873,"=ÇERKEZKÖY")/P7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SUMIFS('[7]TABLO-1'!R4:R32873,'[7]TABLO-1'!H4:H32873,"=Dağıtım-AG",'[7]TABLO-1'!J4:J32873,"=Güvenlik",'[7]TABLO-1'!K4:K32873,"=Bildirimsiz",'[7]TABLO-1'!I4:I32873,"=Uzun",'[7]TABLO-1'!D4:D32873,"=ÇERKEZKÖY")/P13</f>
        <v>#DIV/0!</v>
      </c>
      <c r="I40" s="10" t="str">
        <f t="shared" si="11"/>
        <v>0,00</v>
      </c>
      <c r="J40" s="12" t="e">
        <f>SUMIFS('[7]TABLO-1'!S4:S32873,'[7]TABLO-1'!H4:H32873,"=Dağıtım-AG",'[7]TABLO-1'!J4:J32873,"=Güvenlik",'[7]TABLO-1'!K4:K32873,"=Bildirimsiz",'[7]TABLO-1'!I4:I32873,"=Uzun",'[7]TABLO-1'!D4:D32873,"=ÇERKEZKÖY")/P8</f>
        <v>#DIV/0!</v>
      </c>
      <c r="K40" s="10" t="e">
        <f>SUMIFS('[7]TABLO-1'!T4:T32873,'[7]TABLO-1'!H4:H32873,"=Dağıtım-AG",'[7]TABLO-1'!J4:J32873,"=Güvenlik",'[7]TABLO-1'!K4:K32873,"=bildirimsiz",'[7]TABLO-1'!I4:I32873,"=Uzun",'[7]TABLO-1'!D4:D32873,"=ÇERKEZKÖY")/P14</f>
        <v>#DIV/0!</v>
      </c>
      <c r="L40" s="10" t="str">
        <f t="shared" si="12"/>
        <v>0,00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0.81404958677685946</v>
      </c>
      <c r="E41" s="10">
        <f t="shared" ref="E41:M41" si="14">SUM(E31:E40)</f>
        <v>0.93867534768887706</v>
      </c>
      <c r="F41" s="10">
        <f t="shared" si="14"/>
        <v>0.93807773473492317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 t="e">
        <f t="shared" si="14"/>
        <v>#DIV/0!</v>
      </c>
      <c r="K41" s="10" t="e">
        <f t="shared" si="14"/>
        <v>#DIV/0!</v>
      </c>
      <c r="L41" s="10">
        <f t="shared" si="14"/>
        <v>0</v>
      </c>
      <c r="M41" s="10">
        <f t="shared" si="14"/>
        <v>0.93807773473492317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İşletmecisi",'[7]TABLO-1'!K4:K32873,"=Bildirimli",'[7]TABLO-1'!I4:I32873,"=Uzun",'[7]TABLO-1'!D4:D32873,"=ÇERKEZKÖY")/P6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İşletmecisi",'[7]TABLO-1'!K4:K32873,"=Bildirimli",'[7]TABLO-1'!I4:I32873,"=Uzun",'[7]TABLO-1'!D4:D32873,"=ÇERKEZKÖY")/P12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İşletmecisi",'[7]TABLO-1'!K4:K32873,"=Bildirimli",'[7]TABLO-1'!I4:I32873,"=Uzun",'[7]TABLO-1'!D4:D32873,"=ÇERKEZKÖY")/P7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İşletmecisi",'[7]TABLO-1'!K4:K32873,"=Bildirimli",'[7]TABLO-1'!I4:I32873,"=Uzun",'[7]TABLO-1'!D4:D32873,"=ÇERKEZKÖY")/P13</f>
        <v>#DIV/0!</v>
      </c>
      <c r="I46" s="10" t="str">
        <f>IFERROR((((G46*$P$7)+(H46*$P$13))/$P$20),"0,00")</f>
        <v>0,00</v>
      </c>
      <c r="J46" s="10" t="e">
        <f>SUMIFS('[7]TABLO-1'!S4:S32873,'[7]TABLO-1'!H4:H32873,"=İletim",'[7]TABLO-1'!J4:J32873,"=Şebeke İşletmecisi",'[7]TABLO-1'!K4:K32873,"=Bildirimli",'[7]TABLO-1'!I4:I32873,"=Uzun",'[7]TABLO-1'!D4:D32873,"=ÇERKEZKÖY")/P8</f>
        <v>#DIV/0!</v>
      </c>
      <c r="K46" s="10" t="e">
        <f>SUMIFS('[7]TABLO-1'!T4:T32873,'[7]TABLO-1'!H4:H32873,"=İletim",'[7]TABLO-1'!J4:J32873,"=Şebeke İşletmecisi",'[7]TABLO-1'!K4:K32873,"=bildirimli",'[7]TABLO-1'!I4:I32873,"=Uzun",'[7]TABLO-1'!D4:D32873,"=ÇERKEZKÖY")/P14</f>
        <v>#DIV/0!</v>
      </c>
      <c r="L46" s="10" t="str">
        <f>IFERROR((((J46*$P$8)+(K46*$P$14))/$P$23),"0,00")</f>
        <v>0,00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İşletmecisi",'[7]TABLO-1'!K4:K32873,"=Bildirimli",'[7]TABLO-1'!I4:I32873,"=Uzun",'[7]TABLO-1'!D4:D32873,"=ÇERKEZKÖY")/P6</f>
        <v>0.29132231404958675</v>
      </c>
      <c r="E47" s="10">
        <f>SUMIFS('[7]TABLO-1'!P4:P32873,'[7]TABLO-1'!H4:H32873,"=Dağıtım-OG",'[7]TABLO-1'!J4:J32873,"=Şebeke İşletmecisi",'[7]TABLO-1'!K4:K32873,"=Bildirimli",'[7]TABLO-1'!I4:I32873,"=Uzun",'[7]TABLO-1'!D4:D32873,"=ÇERKEZKÖY")/P12</f>
        <v>0.15117124112733826</v>
      </c>
      <c r="F47" s="10">
        <f t="shared" ref="F47:F50" si="15">IFERROR((((D47*$P$6)+(E47*$P$12))/$P$17),"0,00")</f>
        <v>0.15184330199241083</v>
      </c>
      <c r="G47" s="10" t="e">
        <f>SUMIFS('[7]TABLO-1'!Q4:Q32873,'[7]TABLO-1'!H4:H32873,"=Dağıtım-OG",'[7]TABLO-1'!J4:J32873,"=Şebeke İşletmecisi",'[7]TABLO-1'!K4:K32873,"=Bildirimli",'[7]TABLO-1'!I4:I32873,"=Uzun",'[7]TABLO-1'!D4:D32873,"=ÇERKEZKÖY")/P7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İşletmecisi",'[7]TABLO-1'!K4:K32873,"=Bildirimli",'[7]TABLO-1'!I4:I32873,"=Uzun",'[7]TABLO-1'!D4:D32873,"=ÇERKEZKÖY")/P13</f>
        <v>#DIV/0!</v>
      </c>
      <c r="I47" s="10" t="str">
        <f t="shared" ref="I47:I50" si="16">IFERROR((((G47*$P$7)+(H47*$P$13))/$P$20),"0,00")</f>
        <v>0,00</v>
      </c>
      <c r="J47" s="10" t="e">
        <f>SUMIFS('[7]TABLO-1'!S4:S32873,'[7]TABLO-1'!H4:H32873,"=Dağıtım-OG",'[7]TABLO-1'!J4:J32873,"=Şebeke İşletmecisi",'[7]TABLO-1'!K4:K32873,"=Bildirimli",'[7]TABLO-1'!I4:I32873,"=Uzun",'[7]TABLO-1'!D4:D32873,"=ÇERKEZKÖY")/P8</f>
        <v>#DIV/0!</v>
      </c>
      <c r="K47" s="10" t="e">
        <f>SUMIFS('[7]TABLO-1'!T4:T32873,'[7]TABLO-1'!H4:H32873,"=Dağıtım-OG",'[7]TABLO-1'!J4:J32873,"=Şebeke İşletmecisi",'[7]TABLO-1'!K4:K32873,"=bildirimli",'[7]TABLO-1'!I4:I32873,"=Uzun",'[7]TABLO-1'!D4:D32873,"=ÇERKEZKÖY")/P14</f>
        <v>#DIV/0!</v>
      </c>
      <c r="L47" s="10" t="str">
        <f t="shared" ref="L47:L50" si="17">IFERROR((((J47*$P$8)+(K47*$P$14))/$P$23),"0,00")</f>
        <v>0,00</v>
      </c>
      <c r="M47" s="11">
        <f t="shared" ref="M47:M50" si="18">IFERROR((((F47*$P$17)+(I47*$P$20)+(L47*$P$23))/$P$26),"0,00")</f>
        <v>0.15184330199241083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SUMIFS('[7]TABLO-1'!O4:O32873,'[7]TABLO-1'!H4:H32873,"=Dağıtım-OG",'[7]TABLO-1'!J4:J32873,"=Güvenlik",'[7]TABLO-1'!K4:K32873,"=Bildirimli",'[7]TABLO-1'!I4:I32873,"=Uzun",'[7]TABLO-1'!D4:D32873,"=ÇERKEZKÖY")/P6</f>
        <v>0</v>
      </c>
      <c r="E48" s="10">
        <f>SUMIFS('[7]TABLO-1'!P4:P32873,'[7]TABLO-1'!H4:H32873,"=Dağıtım-OG",'[7]TABLO-1'!J4:J32873,"=Güvenlik",'[7]TABLO-1'!K4:K32873,"=Bildirimli",'[7]TABLO-1'!I4:I32873,"=Uzun",'[7]TABLO-1'!D4:D32873,"=ÇERKEZKÖY")/P12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SUMIFS('[7]TABLO-1'!Q4:Q32873,'[7]TABLO-1'!H4:H32873,"=Dağıtım-OG",'[7]TABLO-1'!J4:J32873,"=Güvenlik",'[7]TABLO-1'!K4:K32873,"=Bildirimli",'[7]TABLO-1'!I4:I32873,"=Uzun",'[7]TABLO-1'!D4:D32873,"=ÇERKEZKÖY")/P7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SUMIFS('[7]TABLO-1'!R4:R32873,'[7]TABLO-1'!H4:H32873,"=Dağıtım-OG",'[7]TABLO-1'!J4:J32873,"=Güvenlik",'[7]TABLO-1'!K4:K32873,"=Bildirimli",'[7]TABLO-1'!I4:I32873,"=Uzun",'[7]TABLO-1'!D4:D32873,"=ÇERKEZKÖY")/P13</f>
        <v>#DIV/0!</v>
      </c>
      <c r="I48" s="10" t="str">
        <f t="shared" si="16"/>
        <v>0,00</v>
      </c>
      <c r="J48" s="10" t="e">
        <f>SUMIFS('[7]TABLO-1'!S4:S32873,'[7]TABLO-1'!H4:H32873,"=Dağıtım-OG",'[7]TABLO-1'!J4:J32873,"=Güvenlik",'[7]TABLO-1'!K4:K32873,"=Bildirimli",'[7]TABLO-1'!I4:I32873,"=Uzun",'[7]TABLO-1'!D4:D32873,"=ÇERKEZKÖY")/P8</f>
        <v>#DIV/0!</v>
      </c>
      <c r="K48" s="10" t="e">
        <f>SUMIFS('[7]TABLO-1'!T4:T32873,'[7]TABLO-1'!H4:H32873,"=Dağıtım-OG",'[7]TABLO-1'!J4:J32873,"=Güvenlik",'[7]TABLO-1'!K4:K32873,"=bildirimli",'[7]TABLO-1'!I4:I32873,"=Uzun",'[7]TABLO-1'!D4:D32873,"=ÇERKEZKÖY")/P14</f>
        <v>#DIV/0!</v>
      </c>
      <c r="L48" s="10" t="str">
        <f t="shared" si="17"/>
        <v>0,00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İşletmecisi",'[7]TABLO-1'!K4:K32873,"=Bildirimli",'[7]TABLO-1'!I4:I32873,"=Uzun",'[7]TABLO-1'!D4:D32873,"=ÇERKEZKÖY")/P6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İşletmecisi",'[7]TABLO-1'!K4:K32873,"=Bildirimli",'[7]TABLO-1'!I4:I32873,"=Uzun",'[7]TABLO-1'!D4:D32873,"=ÇERKEZKÖY")/P12</f>
        <v>2.5585122798634135E-3</v>
      </c>
      <c r="F49" s="10">
        <f t="shared" si="15"/>
        <v>2.5462435476999593E-3</v>
      </c>
      <c r="G49" s="12" t="e">
        <f>SUMIFS('[7]TABLO-1'!Q4:Q32873,'[7]TABLO-1'!H4:H32873,"=Dağıtım-AG",'[7]TABLO-1'!J4:J32873,"=Şebeke İşletmecisi",'[7]TABLO-1'!K4:K32873,"=Bildirimli",'[7]TABLO-1'!I4:I32873,"=Uzun",'[7]TABLO-1'!D4:D32873,"=ÇERKEZKÖY")/P7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İşletmecisi",'[7]TABLO-1'!K4:K32873,"=Bildirimli",'[7]TABLO-1'!I4:I32873,"=Uzun",'[7]TABLO-1'!D4:D32873,"=ÇERKEZKÖY")/P13</f>
        <v>#DIV/0!</v>
      </c>
      <c r="I49" s="10" t="str">
        <f t="shared" si="16"/>
        <v>0,00</v>
      </c>
      <c r="J49" s="12" t="e">
        <f>SUMIFS('[7]TABLO-1'!S4:S32873,'[7]TABLO-1'!H4:H32873,"=Dağıtım-AG",'[7]TABLO-1'!J4:J32873,"=Şebeke İşletmecisi",'[7]TABLO-1'!K4:K32873,"=Bildirimli",'[7]TABLO-1'!I4:I32873,"=Uzun",'[7]TABLO-1'!D4:D32873,"=ÇERKEZKÖY")/P8</f>
        <v>#DIV/0!</v>
      </c>
      <c r="K49" s="10" t="e">
        <f>SUMIFS('[7]TABLO-1'!T4:T32873,'[7]TABLO-1'!H4:H32873,"=Dağıtım-AG",'[7]TABLO-1'!J4:J32873,"=Şebeke İşletmecisi",'[7]TABLO-1'!K4:K32873,"=bildirimli",'[7]TABLO-1'!I4:I32873,"=Uzun",'[7]TABLO-1'!D4:D32873,"=ÇERKEZKÖY")/P14</f>
        <v>#DIV/0!</v>
      </c>
      <c r="L49" s="10" t="str">
        <f t="shared" si="17"/>
        <v>0,00</v>
      </c>
      <c r="M49" s="11">
        <f t="shared" si="18"/>
        <v>2.5462435476999593E-3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SUMIFS('[7]TABLO-1'!O4:O32873,'[7]TABLO-1'!H4:H32873,"=Dağıtım-AG",'[7]TABLO-1'!J4:J32873,"=Güvenlik",'[7]TABLO-1'!K4:K32873,"=Bildirimli",'[7]TABLO-1'!I4:I32873,"=Uzun",'[7]TABLO-1'!D4:D32873,"=ÇERKEZKÖY")/P6</f>
        <v>0</v>
      </c>
      <c r="E50" s="10">
        <f>SUMIFS('[7]TABLO-1'!P4:P32873,'[7]TABLO-1'!H4:H32873,"=Dağıtım-AG",'[7]TABLO-1'!J4:J32873,"=Güvenlik",'[7]TABLO-1'!K4:K32873,"=Bildirimli",'[7]TABLO-1'!I4:I32873,"=Uzun",'[7]TABLO-1'!D4:D32873,"=ÇERKEZKÖY")/P12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SUMIFS('[7]TABLO-1'!Q4:Q32873,'[7]TABLO-1'!H4:H32873,"=Dağıtım-AG",'[7]TABLO-1'!J4:J32873,"=Güvenlik",'[7]TABLO-1'!K4:K32873,"=Bildirimli",'[7]TABLO-1'!I4:I32873,"=Uzun",'[7]TABLO-1'!D4:D32873,"=ÇERKEZKÖY")/P7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SUMIFS('[7]TABLO-1'!R4:R32873,'[7]TABLO-1'!H4:H32873,"=Dağıtım-AG",'[7]TABLO-1'!J4:J32873,"=Güvenlik",'[7]TABLO-1'!K4:K32873,"=Bildirimli",'[7]TABLO-1'!I4:I32873,"=Uzun",'[7]TABLO-1'!D4:D32873,"=ÇERKEZKÖY")/P13</f>
        <v>#DIV/0!</v>
      </c>
      <c r="I50" s="10" t="str">
        <f t="shared" si="16"/>
        <v>0,00</v>
      </c>
      <c r="J50" s="12" t="e">
        <f>SUMIFS('[7]TABLO-1'!S4:S32873,'[7]TABLO-1'!H4:H32873,"=Dağıtım-AG",'[7]TABLO-1'!J4:J32873,"=Güvenlik",'[7]TABLO-1'!K4:K32873,"=Bildirimli",'[7]TABLO-1'!I4:I32873,"=Uzun",'[7]TABLO-1'!D4:D32873,"=ÇERKEZKÖY")/P8</f>
        <v>#DIV/0!</v>
      </c>
      <c r="K50" s="10" t="e">
        <f>SUMIFS('[7]TABLO-1'!T4:T32873,'[7]TABLO-1'!H4:H32873,"=Dağıtım-AG",'[7]TABLO-1'!J4:J32873,"=Güvenlik",'[7]TABLO-1'!K4:K32873,"=bildirimli",'[7]TABLO-1'!I4:I32873,"=Uzun",'[7]TABLO-1'!D4:D32873,"=ÇERKEZKÖY")/P14</f>
        <v>#DIV/0!</v>
      </c>
      <c r="L50" s="10" t="str">
        <f t="shared" si="17"/>
        <v>0,00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0.29132231404958675</v>
      </c>
      <c r="E51" s="10">
        <f t="shared" ref="E51:M51" si="19">SUM(E46:E50)</f>
        <v>0.15372975340720169</v>
      </c>
      <c r="F51" s="10">
        <f t="shared" si="19"/>
        <v>0.15438954554011081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 t="e">
        <f t="shared" si="19"/>
        <v>#DIV/0!</v>
      </c>
      <c r="K51" s="10" t="e">
        <f t="shared" si="19"/>
        <v>#DIV/0!</v>
      </c>
      <c r="L51" s="10">
        <f t="shared" si="19"/>
        <v>0</v>
      </c>
      <c r="M51" s="10">
        <f t="shared" si="19"/>
        <v>0.15438954554011081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SUMIFS('[7]TABLO-1'!O1:O32873,'[7]TABLO-1'!H1:H32873,"=İletim",'[7]TABLO-1'!K1:K32873,"=Bildirimsiz",'[7]TABLO-1'!I1:I32873,"=Kısa",'[7]TABLO-1'!D1:D32873,"=ÇERKEZKÖY")/P6</f>
        <v>0</v>
      </c>
      <c r="D56" s="10">
        <f>SUMIFS('[7]TABLO-1'!P1:P32873,'[7]TABLO-1'!H1:H32873,"=İletim",'[7]TABLO-1'!K1:K32873,"=Bildirimsiz",'[7]TABLO-1'!I1:I32873,"=Kısa",'[7]TABLO-1'!D1:D32873,"=ÇERKEZKÖY")/P12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SUMIFS('[7]TABLO-1'!Q1:Q32873,'[7]TABLO-1'!H1:H32873,"=İletim",'[7]TABLO-1'!K1:K32873,"=Bildirimsiz",'[7]TABLO-1'!I1:I32873,"=Kısa",'[7]TABLO-1'!D1:D32873,"=ÇERKEZKÖY")/P7</f>
        <v>#DIV/0!</v>
      </c>
      <c r="G56" s="10" t="e">
        <f>SUMIFS('[7]TABLO-1'!R1:R32873,'[7]TABLO-1'!H1:H32873,"=İletim",'[7]TABLO-1'!K1:K32873,"=Bildirimsiz",'[7]TABLO-1'!I1:I32873,"=Kısa",'[7]TABLO-1'!D1:D32873,"=ÇERKEZKÖY")/P13</f>
        <v>#DIV/0!</v>
      </c>
      <c r="H56" s="10" t="str">
        <f>IFERROR((((F56*$P$7)+(G56*$P$13))/$P$20),"0,00")</f>
        <v>0,00</v>
      </c>
      <c r="I56" s="10" t="e">
        <f>SUMIFS('[7]TABLO-1'!S1:S32873,'[7]TABLO-1'!H1:H32873,"=İletim",'[7]TABLO-1'!K1:K32873,"=Bildirimsiz",'[7]TABLO-1'!I1:I32873,"=Kısa",'[7]TABLO-1'!D1:D32873,"=ÇERKEZKÖY")/P8</f>
        <v>#DIV/0!</v>
      </c>
      <c r="J56" s="10" t="e">
        <f>SUMIFS('[7]TABLO-1'!T1:T32873,'[7]TABLO-1'!H1:H32873,"=İletim",'[7]TABLO-1'!K1:K32873,"=Bildirimsiz",'[7]TABLO-1'!I1:I32873,"=Kısa",'[7]TABLO-1'!D1:D32873,"=ÇERKEZKÖY")/P14</f>
        <v>#DIV/0!</v>
      </c>
      <c r="K56" s="10" t="str">
        <f>IFERROR((((I56*$P$8)+(J56*$P$14))/$P$23),"0,00")</f>
        <v>0,00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SUMIFS('[7]TABLO-1'!O4:O32873,'[7]TABLO-1'!H4:H32873,"=Dağıtım-OG",'[7]TABLO-1'!K4:K32873,"=Bildirimsiz",'[7]TABLO-1'!I4:I32873,"=Kısa",'[7]TABLO-1'!D4:D32873,"=ÇERKEZKÖY")/P6</f>
        <v>6.1983471074380167E-3</v>
      </c>
      <c r="D57" s="10">
        <f>SUMIFS('[7]TABLO-1'!P4:P32873,'[7]TABLO-1'!H4:H32873,"=Dağıtım-OG",'[7]TABLO-1'!K4:K32873,"=Bildirimsiz",'[7]TABLO-1'!I4:I32873,"=Kısa",'[7]TABLO-1'!D4:D32873,"=ÇERKEZKÖY")/P12</f>
        <v>1.2344572867823472E-3</v>
      </c>
      <c r="E57" s="10">
        <f>IFERROR((((C57*$P$6)+(D57*$P$12))/$P$17),"0,00")</f>
        <v>1.2582604301863613E-3</v>
      </c>
      <c r="F57" s="10" t="e">
        <f>SUMIFS('[7]TABLO-1'!Q4:Q32873,'[7]TABLO-1'!H4:H32873,"=Dağıtım-OG",'[7]TABLO-1'!K4:K32873,"=Bildirimsiz",'[7]TABLO-1'!I4:I32873,"=Kısa",'[7]TABLO-1'!D4:D32873,"=ÇERKEZKÖY")/P7</f>
        <v>#DIV/0!</v>
      </c>
      <c r="G57" s="10" t="e">
        <f>SUMIFS('[7]TABLO-1'!R4:R32873,'[7]TABLO-1'!H4:H32873,"=Dağıtım-OG",'[7]TABLO-1'!K4:K32873,"=Bildirimsiz",'[7]TABLO-1'!I4:I32873,"=Kısa",'[7]TABLO-1'!D4:D32873,"=ÇERKEZKÖY")/P13</f>
        <v>#DIV/0!</v>
      </c>
      <c r="H57" s="10" t="str">
        <f>IFERROR((((F57*$P$7)+(G57*$P$13))/$P$20),"0,00")</f>
        <v>0,00</v>
      </c>
      <c r="I57" s="10" t="e">
        <f>SUMIFS('[7]TABLO-1'!S4:S32873,'[7]TABLO-1'!H4:H32873,"=Dağıtım-OG",'[7]TABLO-1'!K4:K32873,"=Bildirimsiz",'[7]TABLO-1'!I4:I32873,"=Kısa",'[7]TABLO-1'!D4:D32873,"=ÇERKEZKÖY")/P8</f>
        <v>#DIV/0!</v>
      </c>
      <c r="J57" s="10" t="e">
        <f>SUMIFS('[7]TABLO-1'!T4:T32873,'[7]TABLO-1'!H4:H32873,"=Dağıtım-OG",'[7]TABLO-1'!K4:K32873,"=Bildirimsiz",'[7]TABLO-1'!I4:I32873,"=Kısa",'[7]TABLO-1'!D4:D32873,"=ÇERKEZKÖY")/P14</f>
        <v>#DIV/0!</v>
      </c>
      <c r="K57" s="10" t="str">
        <f>IFERROR((((I57*$P$8)+(J57*$P$14))/$P$23),"0,00")</f>
        <v>0,00</v>
      </c>
      <c r="L57" s="11">
        <f>IFERROR((((E57*$P$17)+(H57*$P$20)+(K57*$P$23))/$P$26),"0,00")</f>
        <v>1.2582604301863613E-3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SUMIFS('[7]TABLO-1'!O4:O32873,'[7]TABLO-1'!H4:H32873,"=Dağıtım-AG",'[7]TABLO-1'!K4:K32873,"=Bildirimsiz",'[7]TABLO-1'!I4:I32873,"=Kısa",'[7]TABLO-1'!D4:D32873,"=ÇERKEZKÖY")/P6</f>
        <v>0</v>
      </c>
      <c r="D58" s="10">
        <f>SUMIFS('[7]TABLO-1'!P4:P32873,'[7]TABLO-1'!H4:H32873,"=Dağıtım-AG",'[7]TABLO-1'!K4:K32873,"=Bildirimsiz",'[7]TABLO-1'!I4:I32873,"=Kısa",'[7]TABLO-1'!D4:D32873,"=ÇERKEZKÖY")/P12</f>
        <v>0</v>
      </c>
      <c r="E58" s="10">
        <f>IFERROR((((C58*$P$6)+(D58*$P$12))/$P$17),"0,00")</f>
        <v>0</v>
      </c>
      <c r="F58" s="10" t="e">
        <f>SUMIFS('[7]TABLO-1'!Q4:Q32873,'[7]TABLO-1'!H4:H32873,"=Dağıtım-AG",'[7]TABLO-1'!K4:K32873,"=Bildirimsiz",'[7]TABLO-1'!I4:I32873,"=Kısa",'[7]TABLO-1'!D4:D32873,"=ÇERKEZKÖY")/P7</f>
        <v>#DIV/0!</v>
      </c>
      <c r="G58" s="10" t="e">
        <f>SUMIFS('[7]TABLO-1'!R4:R32873,'[7]TABLO-1'!H4:H32873,"=Dağıtım-AG",'[7]TABLO-1'!K4:K32873,"=Bildirimsiz",'[7]TABLO-1'!I4:I32873,"=Kısa",'[7]TABLO-1'!D4:D32873,"=ÇERKEZKÖY")/P13</f>
        <v>#DIV/0!</v>
      </c>
      <c r="H58" s="10" t="str">
        <f>IFERROR((((F58*$P$7)+(G58*$P$13))/$P$20),"0,00")</f>
        <v>0,00</v>
      </c>
      <c r="I58" s="10" t="e">
        <f>SUMIFS('[7]TABLO-1'!S4:S32873,'[7]TABLO-1'!H4:H32873,"=Dağıtım-AG",'[7]TABLO-1'!K4:K32873,"=Bildirimsiz",'[7]TABLO-1'!I4:I32873,"=Kısa",'[7]TABLO-1'!D4:D32873,"=ÇERKEZKÖY")/P8</f>
        <v>#DIV/0!</v>
      </c>
      <c r="J58" s="10" t="e">
        <f>SUMIFS('[7]TABLO-1'!T4:T32873,'[7]TABLO-1'!H4:H32873,"=Dağıtım-AG",'[7]TABLO-1'!K4:K32873,"=Bildirimsiz",'[7]TABLO-1'!I4:I32873,"=Kısa",'[7]TABLO-1'!D4:D32873,"=ÇERKEZKÖY")/P14</f>
        <v>#DIV/0!</v>
      </c>
      <c r="K58" s="10" t="str">
        <f>IFERROR((((I58*$P$8)+(J58*$P$14))/$P$23),"0,00")</f>
        <v>0,00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6.1983471074380167E-3</v>
      </c>
      <c r="D59" s="10">
        <f t="shared" si="20"/>
        <v>1.2344572867823472E-3</v>
      </c>
      <c r="E59" s="10">
        <f t="shared" si="20"/>
        <v>1.2582604301863613E-3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 t="e">
        <f t="shared" si="20"/>
        <v>#DIV/0!</v>
      </c>
      <c r="J59" s="10" t="e">
        <f t="shared" si="20"/>
        <v>#DIV/0!</v>
      </c>
      <c r="K59" s="10">
        <f t="shared" si="20"/>
        <v>0</v>
      </c>
      <c r="L59" s="10">
        <f t="shared" si="20"/>
        <v>1.2582604301863613E-3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484</v>
      </c>
      <c r="D65" s="27">
        <f>P12</f>
        <v>100449</v>
      </c>
      <c r="E65" s="27">
        <f>C65+D65</f>
        <v>100933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0</v>
      </c>
      <c r="J65" s="27">
        <f>P14</f>
        <v>0</v>
      </c>
      <c r="K65" s="17">
        <f>SUM(I65:J65)</f>
        <v>0</v>
      </c>
      <c r="L65" s="17">
        <f>H65+E65+K65</f>
        <v>100933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Q71"/>
  <sheetViews>
    <sheetView zoomScale="70" zoomScaleNormal="70" workbookViewId="0">
      <selection activeCell="O31" sqref="O3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İşletmecisi",'[7]TABLO-1'!K4:K32873,"=Bildirimsiz",'[7]TABLO-1'!I4:I32873,"=Uzun",'[7]TABLO-1'!D4:D32873,"=SARAY")/P6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İşletmecisi",'[7]TABLO-1'!K4:K32873,"=Bildirimsiz",'[7]TABLO-1'!I4:I32873,"=Uzun",'[7]TABLO-1'!D4:D32873,"=SARAY")/P12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İşletmecisi",'[7]TABLO-1'!K4:K32873,"=Bildirimsiz",'[7]TABLO-1'!I4:I32873,"=Uzun",'[7]TABLO-1'!D4:D32873,"=SARAY")/P7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İşletmecisi",'[7]TABLO-1'!K4:K32873,"=Bildirimsiz",'[7]TABLO-1'!I4:I32873,"=Uzun",'[7]TABLO-1'!D4:D32873,"=SARAY")/P13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İşletmecisi",'[7]TABLO-1'!K4:K32873,"=Bildirimsiz",'[7]TABLO-1'!I4:I32873,"=Uzun",'[7]TABLO-1'!D4:D32873,"=SARAY")/P8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İşletmecisi",'[7]TABLO-1'!K4:K32873,"=Bildirimsiz",'[7]TABLO-1'!I4:I32873,"=Uzun",'[7]TABLO-1'!D4:D32873,"=SARAY")/P14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Sebep",'[7]TABLO-1'!K4:K32873,"=Bildirimsiz",'[7]TABLO-1'!I4:I32873,"=Uzun",'[7]TABLO-1'!D4:D32873,"=SARAY")/P6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Sebep",'[7]TABLO-1'!K4:K32873,"=Bildirimsiz",'[7]TABLO-1'!I4:I32873,"=Uzun",'[7]TABLO-1'!D4:D32873,"=SARAY")/P12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Sebep",'[7]TABLO-1'!K4:K32873,"=Bildirimsiz",'[7]TABLO-1'!I4:I32873,"=Uzun",'[7]TABLO-1'!D4:D32873,"=SARAY")/P7</f>
        <v>0</v>
      </c>
      <c r="H7" s="10">
        <f>SUMIFS('[7]TABLO-1'!X4:X32873,'[7]TABLO-1'!H4:H32873,"=İletim",'[7]TABLO-1'!J4:J32873,"=Mücbir Sebep",'[7]TABLO-1'!K4:K32873,"=Bildirimsiz",'[7]TABLO-1'!I4:I32873,"=Uzun",'[7]TABLO-1'!D4:D32873,"=SARAY")/P13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Sebep",'[7]TABLO-1'!K4:K32873,"=Bildirimsiz",'[7]TABLO-1'!I4:I32873,"=Uzun",'[7]TABLO-1'!D4:D32873,"=SARAY")/P8</f>
        <v>0</v>
      </c>
      <c r="K7" s="10">
        <f>SUMIFS('[7]TABLO-1'!Z4:Z32873,'[7]TABLO-1'!H4:H32873,"=İletim",'[7]TABLO-1'!J4:J32873,"=Mücbir Sebep",'[7]TABLO-1'!K4:K32873,"=Bildirimsiz",'[7]TABLO-1'!I4:I32873,"=Uzun",'[7]TABLO-1'!D4:D32873,"=SARAY")/P14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138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İşletmecisi",'[7]TABLO-1'!K4:K32873,"=Bildirimsiz",'[7]TABLO-1'!I4:I32873,"=Uzun",'[7]TABLO-1'!D4:D32873,"=SARAY")/P6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İşletmecisi",'[7]TABLO-1'!K4:K32873,"=Bildirimsiz",'[7]TABLO-1'!I4:I32873,"=Uzun",'[7]TABLO-1'!D4:D32873,"=SARAY")/P12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İşletmecisi",'[7]TABLO-1'!K4:K32873,"=Bildirimsiz",'[7]TABLO-1'!I4:I32873,"=Uzun",'[7]TABLO-1'!D4:D32873,"=SARAY")/P7</f>
        <v>7.1706521736063147</v>
      </c>
      <c r="H8" s="10">
        <f>SUMIFS('[7]TABLO-1'!X4:X32873,'[7]TABLO-1'!H4:H32873,"=Dağıtım-OG",'[7]TABLO-1'!J4:J32873,"=Şebeke İşletmecisi",'[7]TABLO-1'!K4:K32873,"=Bildirimsiz",'[7]TABLO-1'!I4:I32873,"=Uzun",'[7]TABLO-1'!D4:D32873,"=SARAY")/P13</f>
        <v>4.3995321915631482</v>
      </c>
      <c r="I8" s="10">
        <f t="shared" si="1"/>
        <v>4.4134564035323427</v>
      </c>
      <c r="J8" s="10">
        <f>SUMIFS('[7]TABLO-1'!Y4:Y32873,'[7]TABLO-1'!H4:H32873,"=Dağıtım-OG",'[7]TABLO-1'!J4:J32873,"=Şebeke İşletmecisi",'[7]TABLO-1'!K4:K32873,"=Bildirimsiz",'[7]TABLO-1'!I4:I32873,"=Uzun",'[7]TABLO-1'!D4:D32873,"=SARAY")/P8</f>
        <v>9.8384328358876179</v>
      </c>
      <c r="K8" s="10">
        <f>SUMIFS('[7]TABLO-1'!Z4:Z32873,'[7]TABLO-1'!H4:H32873,"=Dağıtım-OG",'[7]TABLO-1'!J4:J32873,"=Şebeke İşletmecisi",'[7]TABLO-1'!K4:K32873,"=Bildirimsiz",'[7]TABLO-1'!I4:I32873,"=Uzun",'[7]TABLO-1'!D4:D32873,"=SARAY")/P14</f>
        <v>18.907860876948813</v>
      </c>
      <c r="L8" s="10">
        <f t="shared" si="2"/>
        <v>18.76359409661854</v>
      </c>
      <c r="M8" s="11">
        <f t="shared" si="3"/>
        <v>7.7818681268537357</v>
      </c>
      <c r="O8" s="20" t="s">
        <v>36</v>
      </c>
      <c r="P8" s="53">
        <v>134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SUMIFS('[7]TABLO-1'!U4:U32873,'[7]TABLO-1'!H4:H32873,"=Dağıtım-OG",'[7]TABLO-1'!J4:J32873,"=Dışsal",'[7]TABLO-1'!K4:K32873,"=Bildirimsiz",'[7]TABLO-1'!I4:I32873,"=Uzun",'[7]TABLO-1'!D4:D32873,"=SARAY")/P6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SUMIFS('[7]TABLO-1'!V4:V32873,'[7]TABLO-1'!H4:H32873,"=Dağıtım-OG",'[7]TABLO-1'!J4:J32873,"=Dışsal",'[7]TABLO-1'!K4:K32873,"=Bildirimsiz",'[7]TABLO-1'!I4:I32873,"=Uzun",'[7]TABLO-1'!D4:D32873,"=SARAY")/P12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SUMIFS('[7]TABLO-1'!W4:W32873,'[7]TABLO-1'!H4:H32873,"=Dağıtım-OG",'[7]TABLO-1'!J4:J32873,"=Dışsal",'[7]TABLO-1'!K4:K32873,"=Bildirimsiz",'[7]TABLO-1'!I4:I32873,"=Uzun",'[7]TABLO-1'!D4:D32873,"=SARAY")/P7</f>
        <v>0</v>
      </c>
      <c r="H9" s="10">
        <f>SUMIFS('[7]TABLO-1'!X4:X32873,'[7]TABLO-1'!H4:H32873,"=Dağıtım-OG",'[7]TABLO-1'!J4:J32873,"=Dışsal",'[7]TABLO-1'!K4:K32873,"=Bildirimsiz",'[7]TABLO-1'!I4:I32873,"=Uzun",'[7]TABLO-1'!D4:D32873,"=SARAY")/P13</f>
        <v>0.16729488395693515</v>
      </c>
      <c r="I9" s="10">
        <f t="shared" si="1"/>
        <v>0.16645426736845362</v>
      </c>
      <c r="J9" s="10">
        <f>SUMIFS('[7]TABLO-1'!Y4:Y32873,'[7]TABLO-1'!H4:H32873,"=Dağıtım-OG",'[7]TABLO-1'!J4:J32873,"=Dışsal",'[7]TABLO-1'!K4:K32873,"=Bildirimsiz",'[7]TABLO-1'!I4:I32873,"=Uzun",'[7]TABLO-1'!D4:D32873,"=SARAY")/P8</f>
        <v>0</v>
      </c>
      <c r="K9" s="10">
        <f>SUMIFS('[7]TABLO-1'!Z4:Z32873,'[7]TABLO-1'!H4:H32873,"=Dağıtım-OG",'[7]TABLO-1'!J4:J32873,"=Dışsal",'[7]TABLO-1'!K4:K32873,"=Bildirimsiz",'[7]TABLO-1'!I4:I32873,"=Uzun",'[7]TABLO-1'!D4:D32873,"=SARAY")/P14</f>
        <v>0</v>
      </c>
      <c r="L9" s="10">
        <f t="shared" si="2"/>
        <v>0</v>
      </c>
      <c r="M9" s="11">
        <f t="shared" si="3"/>
        <v>0.12738241192062</v>
      </c>
      <c r="O9" s="20" t="s">
        <v>17</v>
      </c>
      <c r="P9" s="53">
        <f>P6+P7+P8</f>
        <v>272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Sebep",'[7]TABLO-1'!K4:K32873,"=Bildirimsiz",'[7]TABLO-1'!I4:I32873,"=Uzun",'[7]TABLO-1'!D4:D32873,"=SARAY")/P6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Sebep",'[7]TABLO-1'!K4:K32873,"=Bildirimsiz",'[7]TABLO-1'!I4:I32873,"=Uzun",'[7]TABLO-1'!D4:D32873,"=SARAY")/P12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Sebep",'[7]TABLO-1'!K4:K32873,"=Bildirimsiz",'[7]TABLO-1'!I4:I32873,"=Uzun",'[7]TABLO-1'!D4:D32873,"=SARAY")/P7</f>
        <v>0</v>
      </c>
      <c r="H10" s="10">
        <f>SUMIFS('[7]TABLO-1'!X4:X32873,'[7]TABLO-1'!H4:H32873,"=Dağıtım-OG",'[7]TABLO-1'!J4:J32873,"=Mücbir Sebep",'[7]TABLO-1'!K4:K32873,"=Bildirimsiz",'[7]TABLO-1'!I4:I32873,"=Uzun",'[7]TABLO-1'!D4:D32873,"=SARAY")/P13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Sebep",'[7]TABLO-1'!K4:K32873,"=Bildirimsiz",'[7]TABLO-1'!I4:I32873,"=Uzun",'[7]TABLO-1'!D4:D32873,"=SARAY")/P8</f>
        <v>0</v>
      </c>
      <c r="K10" s="10">
        <f>SUMIFS('[7]TABLO-1'!Z4:Z32873,'[7]TABLO-1'!H4:H32873,"=Dağıtım-OG",'[7]TABLO-1'!J4:J32873,"=Mücbir Sebep",'[7]TABLO-1'!K4:K32873,"=Bildirimsiz",'[7]TABLO-1'!I4:I32873,"=Uzun",'[7]TABLO-1'!D4:D32873,"=SARAY")/P14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SUMIFS('[7]TABLO-1'!U4:U32873,'[7]TABLO-1'!H4:H32873,"=Dağıtım-OG",'[7]TABLO-1'!J4:J32873,"=Güvenlik",'[7]TABLO-1'!K4:K32873,"=Bildirimsiz",'[7]TABLO-1'!I4:I32873,"=Uzun",'[7]TABLO-1'!D4:D32873,"=SARAY")/P6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SUMIFS('[7]TABLO-1'!V4:V32873,'[7]TABLO-1'!H4:H32873,"=Dağıtım-OG",'[7]TABLO-1'!J4:J32873,"=Güvenlik",'[7]TABLO-1'!K4:K32873,"=Bildirimsiz",'[7]TABLO-1'!I4:I32873,"=Uzun",'[7]TABLO-1'!D4:D32873,"=SARAY")/P12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SUMIFS('[7]TABLO-1'!W4:W32873,'[7]TABLO-1'!H4:H32873,"=Dağıtım-OG",'[7]TABLO-1'!J4:J32873,"=Güvenlik",'[7]TABLO-1'!K4:K32873,"=Bildirimsiz",'[7]TABLO-1'!I4:I32873,"=Uzun",'[7]TABLO-1'!D4:D32873,"=SARAY")/P7</f>
        <v>0</v>
      </c>
      <c r="H11" s="10">
        <f>SUMIFS('[7]TABLO-1'!X4:X32873,'[7]TABLO-1'!H4:H32873,"=Dağıtım-OG",'[7]TABLO-1'!J4:J32873,"=Güvenlik",'[7]TABLO-1'!K4:K32873,"=Bildirimsiz",'[7]TABLO-1'!I4:I32873,"=Uzun",'[7]TABLO-1'!D4:D32873,"=SARAY")/P13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SUMIFS('[7]TABLO-1'!Y4:Y32873,'[7]TABLO-1'!H4:H32873,"=Dağıtım-OG",'[7]TABLO-1'!J4:J32873,"=Güvenlik",'[7]TABLO-1'!K4:K32873,"=Bildirimsiz",'[7]TABLO-1'!I4:I32873,"=Uzun",'[7]TABLO-1'!D4:D32873,"=SARAY")/P8</f>
        <v>0</v>
      </c>
      <c r="K11" s="10">
        <f>SUMIFS('[7]TABLO-1'!Z4:Z32873,'[7]TABLO-1'!H4:H32873,"=Dağıtım-OG",'[7]TABLO-1'!J4:J32873,"=Güvenlik",'[7]TABLO-1'!K4:K32873,"=Bildirimsiz",'[7]TABLO-1'!I4:I32873,"=Uzun",'[7]TABLO-1'!D4:D32873,"=SARAY")/P14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İşletmecisi",'[7]TABLO-1'!K4:K32873,"=Bildirimsiz",'[7]TABLO-1'!I4:I32873,"=Uzun",'[7]TABLO-1'!D4:D32873,"=SARAY")/P6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işletmecisi",'[7]TABLO-1'!K4:K32873,"=Bildirimsiz",'[7]TABLO-1'!I4:I32873,"=Uzun",'[7]TABLO-1'!D4:D32873,"=SARAY")/P12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İşletmecisi",'[7]TABLO-1'!K4:K32873,"=Bildirimsiz",'[7]TABLO-1'!I4:I32873,"=Uzun",'[7]TABLO-1'!D4:D32873,"=SARAY")/P7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İşletmecisi",'[7]TABLO-1'!K4:K32873,"=Bildirimsiz",'[7]TABLO-1'!I4:I32873,"=Uzun",'[7]TABLO-1'!D4:D32873,"=SARAY")/P13</f>
        <v>1.2516156773372933</v>
      </c>
      <c r="I12" s="10">
        <f t="shared" si="1"/>
        <v>1.2453266093401862</v>
      </c>
      <c r="J12" s="12">
        <f>SUMIFS('[7]TABLO-1'!Y4:Y32873,'[7]TABLO-1'!H4:H32873,"=Dağıtım-AG",'[7]TABLO-1'!J4:J32873,"=Şebeke İşletmecisi",'[7]TABLO-1'!K4:K32873,"=Bildirimsiz",'[7]TABLO-1'!I4:I32873,"=Uzun",'[7]TABLO-1'!D4:D32873,"=SARAY")/P8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İşletmecisi",'[7]TABLO-1'!K4:K32873,"=Bildirimsiz",'[7]TABLO-1'!I4:I32873,"=Uzun",'[7]TABLO-1'!D4:D32873,"=SARAY")/P14</f>
        <v>0.45845396056885307</v>
      </c>
      <c r="L12" s="10">
        <f t="shared" si="2"/>
        <v>0.45116136432998477</v>
      </c>
      <c r="M12" s="11">
        <f t="shared" si="3"/>
        <v>1.0589119853999851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SUMIFS('[7]TABLO-1'!U4:U32873,'[7]TABLO-1'!H4:H32873,"=Dağıtım-AG",'[7]TABLO-1'!J4:J32873,"=Dışsal",'[7]TABLO-1'!K4:K32873,"=Bildirimsiz",'[7]TABLO-1'!I4:I32873,"=Uzun",'[7]TABLO-1'!D4:D32873,"=SARAY")/P6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SUMIFS('[7]TABLO-1'!V4:V32873,'[7]TABLO-1'!H4:H32873,"=Dağıtım-AG",'[7]TABLO-1'!J4:J32873,"=Dışsal",'[7]TABLO-1'!K4:K32873,"=Bildirimsiz",'[7]TABLO-1'!I4:I32873,"=Uzun",'[7]TABLO-1'!D4:D32873,"=SARAY")/P12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SUMIFS('[7]TABLO-1'!W4:W32873,'[7]TABLO-1'!H4:H32873,"=Dağıtım-AG",'[7]TABLO-1'!J4:J32873,"=Dışsal",'[7]TABLO-1'!K4:K32873,"=Bildirimsiz",'[7]TABLO-1'!I4:I32873,"=Uzun",'[7]TABLO-1'!D4:D32873,"=SARAY")/P7</f>
        <v>0</v>
      </c>
      <c r="H13" s="10">
        <f>SUMIFS('[7]TABLO-1'!X4:X32873,'[7]TABLO-1'!H4:H32873,"=Dağıtım-AG",'[7]TABLO-1'!J4:J32873,"=Dışsal",'[7]TABLO-1'!K4:K32873,"=Bildirimsiz",'[7]TABLO-1'!I4:I32873,"=Uzun",'[7]TABLO-1'!D4:D32873,"=SARAY")/P13</f>
        <v>1.7016760592260874E-3</v>
      </c>
      <c r="I13" s="10">
        <f t="shared" si="1"/>
        <v>1.693125545966067E-3</v>
      </c>
      <c r="J13" s="12">
        <f>SUMIFS('[7]TABLO-1'!Y4:Y32873,'[7]TABLO-1'!H4:H32873,"=Dağıtım-AG",'[7]TABLO-1'!J4:J32873,"=Dışsal",'[7]TABLO-1'!K4:K32873,"=Bildirimsiz",'[7]TABLO-1'!I4:I32873,"=Uzun",'[7]TABLO-1'!D4:D32873,"=SARAY")/P8</f>
        <v>0</v>
      </c>
      <c r="K13" s="10">
        <f>SUMIFS('[7]TABLO-1'!Z4:Z32873,'[7]TABLO-1'!H4:H32873,"=Dağıtım-AG",'[7]TABLO-1'!J4:J32873,"=Dışsal",'[7]TABLO-1'!K4:K32873,"=Bildirimsiz",'[7]TABLO-1'!I4:I32873,"=Uzun",'[7]TABLO-1'!D4:D32873,"=SARAY")/P14</f>
        <v>0</v>
      </c>
      <c r="L13" s="10">
        <f t="shared" si="2"/>
        <v>0</v>
      </c>
      <c r="M13" s="11">
        <f t="shared" si="3"/>
        <v>1.2956977261037691E-3</v>
      </c>
      <c r="O13" s="6" t="s">
        <v>35</v>
      </c>
      <c r="P13" s="42">
        <v>27326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Sebep",'[7]TABLO-1'!K4:K32873,"=Bildirimsiz",'[7]TABLO-1'!I4:I32873,"=Uzun",'[7]TABLO-1'!D4:D32873,"=SARAY")/P6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Sebep",'[7]TABLO-1'!K4:K32873,"=Bildirimsiz",'[7]TABLO-1'!I4:I32873,"=Uzun",'[7]TABLO-1'!D4:D32873,"=SARAY")/P12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Sebep",'[7]TABLO-1'!K4:K32873,"=Bildirimsiz",'[7]TABLO-1'!I4:I32873,"=Uzun",'[7]TABLO-1'!D4:D32873,"=SARAY")/P7</f>
        <v>0</v>
      </c>
      <c r="H14" s="10">
        <f>SUMIFS('[7]TABLO-1'!X4:X32873,'[7]TABLO-1'!H4:H32873,"=Dağıtım-AG",'[7]TABLO-1'!J4:J32873,"=Mücbir Sebep",'[7]TABLO-1'!K4:K32873,"=Bildirimsiz",'[7]TABLO-1'!I4:I32873,"=Uzun",'[7]TABLO-1'!D4:D32873,"=SARAY")/P13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Sebep",'[7]TABLO-1'!K4:K32873,"=Bildirimsiz",'[7]TABLO-1'!I4:I32873,"=Uzun",'[7]TABLO-1'!D4:D32873,"=SARAY")/P8</f>
        <v>0</v>
      </c>
      <c r="K14" s="10">
        <f>SUMIFS('[7]TABLO-1'!Z4:Z32873,'[7]TABLO-1'!H4:H32873,"=Dağıtım-AG",'[7]TABLO-1'!J4:J32873,"=Mücbir Sebep",'[7]TABLO-1'!K4:K32873,"=Bildirimsiz",'[7]TABLO-1'!I4:I32873,"=Uzun",'[7]TABLO-1'!D4:D32873,"=SARAY")/P14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8290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SUMIFS('[7]TABLO-1'!U4:U32873,'[7]TABLO-1'!H4:H32873,"=Dağıtım-AG",'[7]TABLO-1'!J4:J32873,"=Güvenlik",'[7]TABLO-1'!K4:K32873,"=Bildirimsiz",'[7]TABLO-1'!I4:I32873,"=Uzun",'[7]TABLO-1'!D4:D32873,"=SARAY")/P6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SUMIFS('[7]TABLO-1'!V4:V32873,'[7]TABLO-1'!H4:H32873,"=Dağıtım-AG",'[7]TABLO-1'!J4:J32873,"=Güvenlik",'[7]TABLO-1'!K4:K32873,"=Bildirimsiz",'[7]TABLO-1'!I4:I32873,"=Uzun",'[7]TABLO-1'!D4:D32873,"=SARAY")/P12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SUMIFS('[7]TABLO-1'!W4:W32873,'[7]TABLO-1'!H4:H32873,"=Dağıtım-AG",'[7]TABLO-1'!J4:J32873,"=Güvenlik",'[7]TABLO-1'!K4:K32873,"=Bildirimsiz",'[7]TABLO-1'!I4:I32873,"=Uzun",'[7]TABLO-1'!D4:D32873,"=SARAY")/P7</f>
        <v>0</v>
      </c>
      <c r="H15" s="10">
        <f>SUMIFS('[7]TABLO-1'!X4:X32873,'[7]TABLO-1'!H4:H32873,"=Dağıtım-AG",'[7]TABLO-1'!J4:J32873,"=Güvenlik",'[7]TABLO-1'!K4:K32873,"=Bildirimsiz",'[7]TABLO-1'!I4:I32873,"=Uzun",'[7]TABLO-1'!D4:D32873,"=SARAY")/P13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SUMIFS('[7]TABLO-1'!Y4:Y32873,'[7]TABLO-1'!H4:H32873,"=Dağıtım-AG",'[7]TABLO-1'!J4:J32873,"=Güvenlik",'[7]TABLO-1'!K4:K32873,"=Bildirimsiz",'[7]TABLO-1'!I4:I32873,"=Uzun",'[7]TABLO-1'!D4:D32873,"=SARAY")/P8</f>
        <v>0</v>
      </c>
      <c r="K15" s="10">
        <f>SUMIFS('[7]TABLO-1'!Z4:Z32873,'[7]TABLO-1'!H4:H32873,"=Dağıtım-AG",'[7]TABLO-1'!J4:J32873,"=Güvenlik",'[7]TABLO-1'!K4:K32873,"=Bildirimsiz",'[7]TABLO-1'!I4:I32873,"=Uzun",'[7]TABLO-1'!D4:D32873,"=SARAY")/P14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35616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7.1706521736063147</v>
      </c>
      <c r="H16" s="10">
        <f t="shared" si="4"/>
        <v>5.8201444289166027</v>
      </c>
      <c r="I16" s="10">
        <f t="shared" si="4"/>
        <v>5.826930405786948</v>
      </c>
      <c r="J16" s="10">
        <f>SUM(J6:J15)</f>
        <v>9.8384328358876179</v>
      </c>
      <c r="K16" s="10">
        <f>SUM(K6:K15)</f>
        <v>19.366314837517667</v>
      </c>
      <c r="L16" s="10">
        <f>SUM(L6:L15)</f>
        <v>19.214755460948524</v>
      </c>
      <c r="M16" s="11">
        <f t="shared" si="4"/>
        <v>8.9694582219004442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27464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İşletmecisi",'[7]TABLO-1'!K4:K32873,"=Bildirimli",'[7]TABLO-1'!I4:I32873,"=Uzun",'[7]TABLO-1'!D4:D32873,"=SARAY")/P6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İşletmecisi",'[7]TABLO-1'!K4:K32873,"=Bildirimli",'[7]TABLO-1'!I4:I32873,"=Uzun",'[7]TABLO-1'!D4:D32873,"=SARAY")/P12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İşletmecisi",'[7]TABLO-1'!K4:K32873,"=Bildirimli",'[7]TABLO-1'!I4:I32873,"=Uzun",'[7]TABLO-1'!D4:D32873,"=SARAY")/P7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İşletmecisi",'[7]TABLO-1'!K4:K32873,"=Bildirimli",'[7]TABLO-1'!I4:I32873,"=Uzun",'[7]TABLO-1'!D4:D32873,"=SARAY")/P13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İşletmecisi",'[7]TABLO-1'!K4:K32873,"=Bildirimli",'[7]TABLO-1'!I4:I32873,"=Uzun",'[7]TABLO-1'!D4:D32873,"=SARAY")/P8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İşletmecisi",'[7]TABLO-1'!K4:K32873,"=Bildirimli",'[7]TABLO-1'!I4:I32873,"=Uzun",'[7]TABLO-1'!D4:D32873,"=SARAY")/P14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İşletmecisi",'[7]TABLO-1'!K4:K32873,"=Bildirimli",'[7]TABLO-1'!I4:I32873,"=Uzun",'[7]TABLO-1'!D4:D32873,"=SARAY")/P6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İşletmecisi",'[7]TABLO-1'!K4:K32873,"=Bildirimli",'[7]TABLO-1'!I4:I32873,"=Uzun",'[7]TABLO-1'!D4:D32873,"=SARAY")/P12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İşletmecisi",'[7]TABLO-1'!K4:K32873,"=Bildirimli",'[7]TABLO-1'!I4:I32873,"=Uzun",'[7]TABLO-1'!D4:D32873,"=SARAY")/P7</f>
        <v>9.594202898468053</v>
      </c>
      <c r="H22" s="10">
        <f>SUMIFS('[7]TABLO-1'!X4:X32873,'[7]TABLO-1'!H4:H32873,"=Dağıtım-OG",'[7]TABLO-1'!J4:J32873,"=Şebeke İşletmecisi",'[7]TABLO-1'!K4:K32873,"=Bildirimli",'[7]TABLO-1'!I4:I32873,"=Uzun",'[7]TABLO-1'!D4:D32873,"=SARAY")/P13</f>
        <v>35.923659395952342</v>
      </c>
      <c r="I22" s="10">
        <f t="shared" ref="I22:I25" si="6">IFERROR((((G22*$P$7)+(H22*$P$13))/$P$20),"0,00")</f>
        <v>35.791360204405123</v>
      </c>
      <c r="J22" s="10">
        <f>SUMIFS('[7]TABLO-1'!Y4:Y32873,'[7]TABLO-1'!H4:H32873,"=Dağıtım-OG",'[7]TABLO-1'!J4:J32873,"=Şebeke İşletmecisi",'[7]TABLO-1'!K4:K32873,"=Bildirimli",'[7]TABLO-1'!I4:I32873,"=Uzun",'[7]TABLO-1'!D4:D32873,"=SARAY")/P8</f>
        <v>1.446517412985133</v>
      </c>
      <c r="K22" s="10">
        <f>SUMIFS('[7]TABLO-1'!Z4:Z32873,'[7]TABLO-1'!H4:H32873,"=Dağıtım-OG",'[7]TABLO-1'!J4:J32873,"=Şebeke İşletmecisi",'[7]TABLO-1'!K4:K32873,"=Bildirimli",'[7]TABLO-1'!I4:I32873,"=Uzun",'[7]TABLO-1'!D4:D32873,"=SARAY")/P14</f>
        <v>14.911413349521563</v>
      </c>
      <c r="L22" s="10">
        <f t="shared" ref="L22:L25" si="7">IFERROR((((J22*$P$8)+(K22*$P$14))/$P$23),"0,00")</f>
        <v>14.697228157748548</v>
      </c>
      <c r="M22" s="11">
        <f t="shared" ref="M22:M25" si="8">IFERROR((((F22*$P$17)+(I22*$P$20)+(L22*$P$23))/$P$26),"0,00")</f>
        <v>30.83992885239233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SUMIFS('[7]TABLO-1'!U4:U32873,'[7]TABLO-1'!H4:H32873,"=Dağıtım-OG",'[7]TABLO-1'!J4:J32873,"=Güvenlik",'[7]TABLO-1'!K4:K32873,"=Bildirimli",'[7]TABLO-1'!I4:I32873,"=Uzun",'[7]TABLO-1'!D4:D32873,"=SARAY")/P6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SUMIFS('[7]TABLO-1'!V4:V32873,'[7]TABLO-1'!H4:H32873,"=Dağıtım-OG",'[7]TABLO-1'!J4:J32873,"=Güvenlik",'[7]TABLO-1'!K4:K32873,"=Bildirimli",'[7]TABLO-1'!I4:I32873,"=Uzun",'[7]TABLO-1'!D4:D32873,"=SARAY")/P12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SUMIFS('[7]TABLO-1'!W4:W32873,'[7]TABLO-1'!H4:H32873,"=Dağıtım-OG",'[7]TABLO-1'!J4:J32873,"=Güvenlik",'[7]TABLO-1'!K4:K32873,"=Bildirimli",'[7]TABLO-1'!I4:I32873,"=Uzun",'[7]TABLO-1'!D4:D32873,"=SARAY")/P7</f>
        <v>0</v>
      </c>
      <c r="H23" s="10">
        <f>SUMIFS('[7]TABLO-1'!X4:X32873,'[7]TABLO-1'!H4:H32873,"=Dağıtım-OG",'[7]TABLO-1'!J4:J32873,"=Güvenlik",'[7]TABLO-1'!K4:K32873,"=Bildirimli",'[7]TABLO-1'!I4:I32873,"=Uzun",'[7]TABLO-1'!D4:D32873,"=SARAY")/P13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SUMIFS('[7]TABLO-1'!Y4:Y32873,'[7]TABLO-1'!H4:H32873,"=Dağıtım-OG",'[7]TABLO-1'!J4:J32873,"=Güvenlik",'[7]TABLO-1'!K4:K32873,"=Bildirimli",'[7]TABLO-1'!I4:I32873,"=Uzun",'[7]TABLO-1'!D4:D32873,"=SARAY")/P8</f>
        <v>0</v>
      </c>
      <c r="K23" s="10">
        <f>SUMIFS('[7]TABLO-1'!Z4:Z32873,'[7]TABLO-1'!H4:H32873,"=Dağıtım-OG",'[7]TABLO-1'!J4:J32873,"=Güvenlik",'[7]TABLO-1'!K4:K32873,"=Bildirimli",'[7]TABLO-1'!I4:I32873,"=Uzun",'[7]TABLO-1'!D4:D32873,"=SARAY")/P14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8424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İşletmecisi",'[7]TABLO-1'!K4:K32873,"=Bildirimli",'[7]TABLO-1'!I4:I32873,"=Uzun",'[7]TABLO-1'!D4:D32873,"=SARAY")/P6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İşletmecisi",'[7]TABLO-1'!K4:K32873,"=Bildirimli",'[7]TABLO-1'!I4:I32873,"=Uzun",'[7]TABLO-1'!D4:D32873,"=SARAY")/P12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İşletmecisi",'[7]TABLO-1'!K4:K32873,"=Bildirimli",'[7]TABLO-1'!I4:I32873,"=Uzun",'[7]TABLO-1'!D4:D32873,"=SARAY")/P7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İşletmecisi",'[7]TABLO-1'!K4:K32873,"=Bildirimli",'[7]TABLO-1'!I4:I32873,"=Uzun",'[7]TABLO-1'!D4:D32873,"=SARAY")/P13</f>
        <v>3.2951974920166971</v>
      </c>
      <c r="I24" s="10">
        <f t="shared" si="6"/>
        <v>3.2786399165033591</v>
      </c>
      <c r="J24" s="12">
        <f>SUMIFS('[7]TABLO-1'!Y4:Y32873,'[7]TABLO-1'!H4:H32873,"=Dağıtım-AG",'[7]TABLO-1'!J4:J32873,"=Şebeke İşletmecisi",'[7]TABLO-1'!K4:K32873,"=Bildirimli",'[7]TABLO-1'!I4:I32873,"=Uzun",'[7]TABLO-1'!D4:D32873,"=SARAY")/P8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İşletmecisi",'[7]TABLO-1'!K4:K32873,"=Bildirimli",'[7]TABLO-1'!I4:I32873,"=Uzun",'[7]TABLO-1'!D4:D32873,"=SARAY")/P14</f>
        <v>0</v>
      </c>
      <c r="L24" s="10">
        <f t="shared" si="7"/>
        <v>0</v>
      </c>
      <c r="M24" s="11">
        <f t="shared" si="8"/>
        <v>2.5090438772527937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SUMIFS('[7]TABLO-1'!U4:U32873,'[7]TABLO-1'!H4:H32873,"=Dağıtım-AG",'[7]TABLO-1'!J4:J32873,"=Güvenlik",'[7]TABLO-1'!K4:K32873,"=Bildirimli",'[7]TABLO-1'!I4:I32873,"=Uzun",'[7]TABLO-1'!D4:D32873,"=SARAY")/P6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SUMIFS('[7]TABLO-1'!V4:V32873,'[7]TABLO-1'!H4:H32873,"=Dağıtım-AG",'[7]TABLO-1'!J4:J32873,"=Güvenlik",'[7]TABLO-1'!K4:K32873,"=Bildirimli",'[7]TABLO-1'!I4:I32873,"=Uzun",'[7]TABLO-1'!D4:D32873,"=SARAY")/P12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SUMIFS('[7]TABLO-1'!W4:W32873,'[7]TABLO-1'!H4:H32873,"=Dağıtım-AG",'[7]TABLO-1'!J4:J32873,"=Güvenlik",'[7]TABLO-1'!K4:K32873,"=Bildirimli",'[7]TABLO-1'!I4:I32873,"=Uzun",'[7]TABLO-1'!D4:D32873,"=SARAY")/P7</f>
        <v>0</v>
      </c>
      <c r="H25" s="10">
        <f>SUMIFS('[7]TABLO-1'!X4:X32873,'[7]TABLO-1'!H4:H32873,"=Dağıtım-AG",'[7]TABLO-1'!J4:J32873,"=Güvenlik",'[7]TABLO-1'!K4:K32873,"=Bildirimli",'[7]TABLO-1'!I4:I32873,"=Uzun",'[7]TABLO-1'!D4:D32873,"=SARAY")/P13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SUMIFS('[7]TABLO-1'!Y4:Y32873,'[7]TABLO-1'!H4:H32873,"=Dağıtım-AG",'[7]TABLO-1'!J4:J32873,"=Güvenlik",'[7]TABLO-1'!K4:K32873,"=Bildirimli",'[7]TABLO-1'!I4:I32873,"=Uzun",'[7]TABLO-1'!D4:D32873,"=SARAY")/P8</f>
        <v>0</v>
      </c>
      <c r="K25" s="10">
        <f>SUMIFS('[7]TABLO-1'!Z4:Z32873,'[7]TABLO-1'!H4:H32873,"=Dağıtım-AG",'[7]TABLO-1'!J4:J32873,"=Güvenlik",'[7]TABLO-1'!K4:K32873,"=Bildirimli",'[7]TABLO-1'!I4:I32873,"=Uzun",'[7]TABLO-1'!D4:D32873,"=SARAY")/P14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9.594202898468053</v>
      </c>
      <c r="H26" s="10">
        <f t="shared" si="9"/>
        <v>39.218856887969039</v>
      </c>
      <c r="I26" s="10">
        <f t="shared" si="9"/>
        <v>39.070000120908482</v>
      </c>
      <c r="J26" s="10">
        <f t="shared" si="9"/>
        <v>1.446517412985133</v>
      </c>
      <c r="K26" s="10">
        <f t="shared" si="9"/>
        <v>14.911413349521563</v>
      </c>
      <c r="L26" s="10">
        <f t="shared" si="9"/>
        <v>14.697228157748548</v>
      </c>
      <c r="M26" s="11">
        <f t="shared" si="9"/>
        <v>33.348972729645126</v>
      </c>
      <c r="O26" s="43" t="s">
        <v>22</v>
      </c>
      <c r="P26" s="44">
        <f>P20+P17+P23</f>
        <v>35888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İşletmecisi",'[7]TABLO-1'!K4:K32873,"=Bildirimsiz",'[7]TABLO-1'!I4:I32873,"=Uzun",'[7]TABLO-1'!D4:D32873,"=SARAY")/P6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İşletmecisi",'[7]TABLO-1'!K4:K32873,"=Bildirimsiz",'[7]TABLO-1'!I4:I32873,"=Uzun",'[7]TABLO-1'!D4:D32873,"=SARAY")/P12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İşletmecisi",'[7]TABLO-1'!K4:K32873,"=Bildirimsiz",'[7]TABLO-1'!I4:I32873,"=Uzun",'[7]TABLO-1'!D4:D32873,"=SARAY")/P7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İşletmecisi",'[7]TABLO-1'!K4:K32873,"=Bildirimsiz",'[7]TABLO-1'!I4:I32873,"=Uzun",'[7]TABLO-1'!D4:D32873,"=SARAY")/P13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İşletmecisi",'[7]TABLO-1'!K4:K32873,"=Bildirimsiz",'[7]TABLO-1'!I4:I32873,"=Uzun",'[7]TABLO-1'!D4:D32873,"=SARAY")/P8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İşletmecisi",'[7]TABLO-1'!K4:K32873,"=bildirimsiz",'[7]TABLO-1'!I4:I32873,"=Uzun",'[7]TABLO-1'!D4:D32873,"=SARAY")/P14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Sebep",'[7]TABLO-1'!K4:K32873,"=Bildirimsiz",'[7]TABLO-1'!I4:I32873,"=Uzun",'[7]TABLO-1'!D4:D32873,"=SARAY")/P6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Sebep",'[7]TABLO-1'!K4:K32873,"=Bildirimsiz",'[7]TABLO-1'!I4:I32873,"=Uzun",'[7]TABLO-1'!D4:D32873,"=SARAY")/P12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Sebep",'[7]TABLO-1'!K4:K32873,"=Bildirimsiz",'[7]TABLO-1'!I4:I32873,"=Uzun",'[7]TABLO-1'!D4:D32873,"=SARAY")/P7</f>
        <v>0</v>
      </c>
      <c r="H32" s="10">
        <f>SUMIFS('[7]TABLO-1'!R4:R32873,'[7]TABLO-1'!H4:H32873,"=İletim",'[7]TABLO-1'!J4:J32873,"=Mücbir Sebep",'[7]TABLO-1'!K4:K32873,"=Bildirimsiz",'[7]TABLO-1'!I4:I32873,"=Uzun",'[7]TABLO-1'!D4:D32873,"=SARAY")/P13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Sebep",'[7]TABLO-1'!K4:K32873,"=Bildirimsiz",'[7]TABLO-1'!I4:I32873,"=Uzun",'[7]TABLO-1'!D4:D32873,"=SARAY")/P8</f>
        <v>0</v>
      </c>
      <c r="K32" s="10">
        <f>SUMIFS('[7]TABLO-1'!T4:T32873,'[7]TABLO-1'!H4:H32873,"=İletim",'[7]TABLO-1'!J4:J32873,"=Mücbir Sebep",'[7]TABLO-1'!K4:K32873,"=bildirimsiz",'[7]TABLO-1'!I4:I32873,"=Uzun",'[7]TABLO-1'!D4:D32873,"=SARAY")/P14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İşletmecisi",'[7]TABLO-1'!K4:K32873,"=Bildirimsiz",'[7]TABLO-1'!I4:I32873,"=Uzun",'[7]TABLO-1'!D4:D32873,"=SARAY")/P6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İşletmecisi",'[7]TABLO-1'!K4:K32873,"=Bildirimsiz",'[7]TABLO-1'!I4:I32873,"=Uzun",'[7]TABLO-1'!D4:D32873,"=SARAY")/P12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İşletmecisi",'[7]TABLO-1'!K4:K32873,"=Bildirimsiz",'[7]TABLO-1'!I4:I32873,"=Uzun",'[7]TABLO-1'!D4:D32873,"=SARAY")/P7</f>
        <v>0.10869565217391304</v>
      </c>
      <c r="H33" s="10">
        <f>SUMIFS('[7]TABLO-1'!R4:R32873,'[7]TABLO-1'!H4:H32873,"=Dağıtım-OG",'[7]TABLO-1'!J4:J32873,"=Şebeke İşletmecisi",'[7]TABLO-1'!K4:K32873,"=Bildirimsiz",'[7]TABLO-1'!I4:I32873,"=Uzun",'[7]TABLO-1'!D4:D32873,"=SARAY")/P13</f>
        <v>3.1508453487521043E-2</v>
      </c>
      <c r="I33" s="10">
        <f t="shared" si="11"/>
        <v>3.1896300611709873E-2</v>
      </c>
      <c r="J33" s="10">
        <f>SUMIFS('[7]TABLO-1'!S4:S32873,'[7]TABLO-1'!H4:H32873,"=Dağıtım-OG",'[7]TABLO-1'!J4:J32873,"=Şebeke İşletmecisi",'[7]TABLO-1'!K4:K32873,"=Bildirimsiz",'[7]TABLO-1'!I4:I32873,"=Uzun",'[7]TABLO-1'!D4:D32873,"=SARAY")/P8</f>
        <v>9.7014925373134331E-2</v>
      </c>
      <c r="K33" s="10">
        <f>SUMIFS('[7]TABLO-1'!T4:T32873,'[7]TABLO-1'!H4:H32873,"=Dağıtım-OG",'[7]TABLO-1'!J4:J32873,"=Şebeke İşletmecisi",'[7]TABLO-1'!K4:K32873,"=bildirimsiz",'[7]TABLO-1'!I4:I32873,"=Uzun",'[7]TABLO-1'!D4:D32873,"=SARAY")/P14</f>
        <v>0.17177322074788903</v>
      </c>
      <c r="L33" s="10">
        <f t="shared" si="12"/>
        <v>0.17058404558404558</v>
      </c>
      <c r="M33" s="11">
        <f t="shared" si="13"/>
        <v>6.4450512706197061E-2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SUMIFS('[7]TABLO-1'!O4:O32873,'[7]TABLO-1'!H4:H32873,"=Dağıtım-OG",'[7]TABLO-1'!J4:J32873,"=Dışsal",'[7]TABLO-1'!K4:K32873,"=Bildirimsiz",'[7]TABLO-1'!I4:I32873,"=Uzun",'[7]TABLO-1'!D4:D32873,"=SARAY")/P6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SUMIFS('[7]TABLO-1'!P4:P32873,'[7]TABLO-1'!H4:H32873,"=Dağıtım-OG",'[7]TABLO-1'!J4:J32873,"=Dışsal",'[7]TABLO-1'!K4:K32873,"=Bildirimsiz",'[7]TABLO-1'!I4:I32873,"=Uzun",'[7]TABLO-1'!D4:D32873,"=SARAY")/P12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SUMIFS('[7]TABLO-1'!Q4:Q32873,'[7]TABLO-1'!H4:H32873,"=Dağıtım-OG",'[7]TABLO-1'!J4:J32873,"=Dışsal",'[7]TABLO-1'!K4:K32873,"=Bildirimsiz",'[7]TABLO-1'!I4:I32873,"=Uzun",'[7]TABLO-1'!D4:D32873,"=SARAY")/P7</f>
        <v>0</v>
      </c>
      <c r="H34" s="10">
        <f>SUMIFS('[7]TABLO-1'!R4:R32873,'[7]TABLO-1'!H4:H32873,"=Dağıtım-OG",'[7]TABLO-1'!J4:J32873,"=Dışsal",'[7]TABLO-1'!K4:K32873,"=Bildirimsiz",'[7]TABLO-1'!I4:I32873,"=Uzun",'[7]TABLO-1'!D4:D32873,"=SARAY")/P13</f>
        <v>1.5004025470248115E-2</v>
      </c>
      <c r="I34" s="10">
        <f t="shared" si="11"/>
        <v>1.4928633847946403E-2</v>
      </c>
      <c r="J34" s="10">
        <f>SUMIFS('[7]TABLO-1'!S4:S32873,'[7]TABLO-1'!H4:H32873,"=Dağıtım-OG",'[7]TABLO-1'!J4:J32873,"=Dışsal",'[7]TABLO-1'!K4:K32873,"=Bildirimsiz",'[7]TABLO-1'!I4:I32873,"=Uzun",'[7]TABLO-1'!D4:D32873,"=SARAY")/P8</f>
        <v>0</v>
      </c>
      <c r="K34" s="10">
        <f>SUMIFS('[7]TABLO-1'!T4:T32873,'[7]TABLO-1'!H4:H32873,"=Dağıtım-OG",'[7]TABLO-1'!J4:J32873,"=Dışsal",'[7]TABLO-1'!K4:K32873,"=bildirimsiz",'[7]TABLO-1'!I4:I32873,"=Uzun",'[7]TABLO-1'!D4:D32873,"=SARAY")/P14</f>
        <v>0</v>
      </c>
      <c r="L34" s="10">
        <f t="shared" si="12"/>
        <v>0</v>
      </c>
      <c r="M34" s="11">
        <f t="shared" si="13"/>
        <v>1.1424431564868479E-2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Sebep",'[7]TABLO-1'!K4:K32873,"=Bildirimsiz",'[7]TABLO-1'!I4:I32873,"=Uzun",'[7]TABLO-1'!D4:D32873,"=SARAY")/P6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Sebep",'[7]TABLO-1'!K4:K32873,"=Bildirimsiz",'[7]TABLO-1'!I4:I32873,"=Uzun",'[7]TABLO-1'!D4:D32873,"=SARAY")/P12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Sebep",'[7]TABLO-1'!K4:K32873,"=Bildirimsiz",'[7]TABLO-1'!I4:I32873,"=Uzun",'[7]TABLO-1'!D4:D32873,"=SARAY")/P7</f>
        <v>0</v>
      </c>
      <c r="H35" s="10">
        <f>SUMIFS('[7]TABLO-1'!R4:R32873,'[7]TABLO-1'!H4:H32873,"=Dağıtım-OG",'[7]TABLO-1'!J4:J32873,"=Mücbir Sebep",'[7]TABLO-1'!K4:K32873,"=Bildirimsiz",'[7]TABLO-1'!I4:I32873,"=Uzun",'[7]TABLO-1'!D4:D32873,"=SARAY")/P13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Sebep",'[7]TABLO-1'!K4:K32873,"=Bildirimsiz",'[7]TABLO-1'!I4:I32873,"=Uzun",'[7]TABLO-1'!D4:D32873,"=SARAY")/P8</f>
        <v>0</v>
      </c>
      <c r="K35" s="10">
        <f>SUMIFS('[7]TABLO-1'!T4:T32873,'[7]TABLO-1'!H4:H32873,"=Dağıtım-OG",'[7]TABLO-1'!J4:J32873,"=Mücbir Sebep",'[7]TABLO-1'!K4:K32873,"=bildirimsiz",'[7]TABLO-1'!I4:I32873,"=Uzun",'[7]TABLO-1'!D4:D32873,"=SARAY")/P14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SUMIFS('[7]TABLO-1'!O4:O32873,'[7]TABLO-1'!H4:H32873,"=Dağıtım-OG",'[7]TABLO-1'!J4:J32873,"=Güvenlik",'[7]TABLO-1'!K4:K32873,"=Bildirimsiz",'[7]TABLO-1'!I4:I32873,"=Uzun",'[7]TABLO-1'!D4:D32873,"=SARAY")/P6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SUMIFS('[7]TABLO-1'!P4:P32873,'[7]TABLO-1'!H4:H32873,"=Dağıtım-OG",'[7]TABLO-1'!J4:J32873,"=Güvenlik",'[7]TABLO-1'!K4:K32873,"=Bildirimsiz",'[7]TABLO-1'!I4:I32873,"=Uzun",'[7]TABLO-1'!D4:D32873,"=SARAY")/P12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SUMIFS('[7]TABLO-1'!Q4:Q32873,'[7]TABLO-1'!H4:H32873,"=Dağıtım-OG",'[7]TABLO-1'!J4:J32873,"=Güvenlik",'[7]TABLO-1'!K4:K32873,"=Bildirimsiz",'[7]TABLO-1'!I4:I32873,"=Uzun",'[7]TABLO-1'!D4:D32873,"=SARAY")/P7</f>
        <v>0</v>
      </c>
      <c r="H36" s="10">
        <f>SUMIFS('[7]TABLO-1'!R4:R32873,'[7]TABLO-1'!H4:H32873,"=Dağıtım-OG",'[7]TABLO-1'!J4:J32873,"=Güvenlik",'[7]TABLO-1'!K4:K32873,"=Bildirimsiz",'[7]TABLO-1'!I4:I32873,"=Uzun",'[7]TABLO-1'!D4:D32873,"=SARAY")/P13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SUMIFS('[7]TABLO-1'!S4:S32873,'[7]TABLO-1'!H4:H32873,"=Dağıtım-OG",'[7]TABLO-1'!J4:J32873,"=Güvenlik",'[7]TABLO-1'!K4:K32873,"=Bildirimsiz",'[7]TABLO-1'!I4:I32873,"=Uzun",'[7]TABLO-1'!D4:D32873,"=SARAY")/P8</f>
        <v>0</v>
      </c>
      <c r="K36" s="10">
        <f>SUMIFS('[7]TABLO-1'!T4:T32873,'[7]TABLO-1'!H4:H32873,"=Dağıtım-OG",'[7]TABLO-1'!J4:J32873,"=Güvenlik",'[7]TABLO-1'!K4:K32873,"=bildirimsiz",'[7]TABLO-1'!I4:I32873,"=Uzun",'[7]TABLO-1'!D4:D32873,"=SARAY")/P14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İşletmecisi",'[7]TABLO-1'!K4:K32873,"=Bildirimsiz",'[7]TABLO-1'!I4:I32873,"=Uzun",'[7]TABLO-1'!D4:D32873,"=SARAY")/P6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İşletmecisi",'[7]TABLO-1'!K4:K32873,"=Bildirimsiz",'[7]TABLO-1'!I4:I32873,"=Uzun",'[7]TABLO-1'!D4:D32873,"=SARAY")/P12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İşletmecisi",'[7]TABLO-1'!K4:K32873,"=Bildirimsiz",'[7]TABLO-1'!I4:I32873,"=Uzun",'[7]TABLO-1'!D4:D32873,"=SARAY")/P7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İşletmecisi",'[7]TABLO-1'!K4:K32873,"=Bildirimsiz",'[7]TABLO-1'!I4:I32873,"=Uzun",'[7]TABLO-1'!D4:D32873,"=SARAY")/P13</f>
        <v>2.1700944155749104E-2</v>
      </c>
      <c r="I37" s="10">
        <f t="shared" si="11"/>
        <v>2.1591902126420041E-2</v>
      </c>
      <c r="J37" s="12">
        <f>SUMIFS('[7]TABLO-1'!S4:S32873,'[7]TABLO-1'!H4:H32873,"=Dağıtım-AG",'[7]TABLO-1'!J4:J32873,"=Şebeke İşletmecisi",'[7]TABLO-1'!K4:K32873,"=Bildirimsiz",'[7]TABLO-1'!I4:I32873,"=Uzun",'[7]TABLO-1'!D4:D32873,"=SARAY")/P8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İşletmecisi",'[7]TABLO-1'!K4:K32873,"=bildirimsiz",'[7]TABLO-1'!I4:I32873,"=Uzun",'[7]TABLO-1'!D4:D32873,"=SARAY")/P14</f>
        <v>1.2303980699638117E-2</v>
      </c>
      <c r="L37" s="10">
        <f t="shared" si="12"/>
        <v>1.2108262108262107E-2</v>
      </c>
      <c r="M37" s="11">
        <f t="shared" si="13"/>
        <v>1.9365804725813642E-2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SUMIFS('[7]TABLO-1'!O4:O32873,'[7]TABLO-1'!H4:H32873,"=Dağıtım-AG",'[7]TABLO-1'!J4:J32873,"=Dışsal",'[7]TABLO-1'!K4:K32873,"=Bildirimsiz",'[7]TABLO-1'!I4:I32873,"=Uzun",'[7]TABLO-1'!D4:D32873,"=SARAY")/P6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SUMIFS('[7]TABLO-1'!P4:P32873,'[7]TABLO-1'!H4:H32873,"=Dağıtım-AG",'[7]TABLO-1'!J4:J32873,"=Dışsal",'[7]TABLO-1'!K4:K32873,"=Bildirimsiz",'[7]TABLO-1'!I4:I32873,"=Uzun",'[7]TABLO-1'!D4:D32873,"=SARAY")/P12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SUMIFS('[7]TABLO-1'!Q4:Q32873,'[7]TABLO-1'!H4:H32873,"=Dağıtım-AG",'[7]TABLO-1'!J4:J32873,"=Dışsal",'[7]TABLO-1'!K4:K32873,"=Bildirimsiz",'[7]TABLO-1'!I4:I32873,"=Uzun",'[7]TABLO-1'!D4:D32873,"=SARAY")/P7</f>
        <v>0</v>
      </c>
      <c r="H38" s="10">
        <f>SUMIFS('[7]TABLO-1'!R4:R32873,'[7]TABLO-1'!H4:H32873,"=Dağıtım-AG",'[7]TABLO-1'!J4:J32873,"=Dışsal",'[7]TABLO-1'!K4:K32873,"=Bildirimsiz",'[7]TABLO-1'!I4:I32873,"=Uzun",'[7]TABLO-1'!D4:D32873,"=SARAY")/P13</f>
        <v>3.6595184073775893E-5</v>
      </c>
      <c r="I38" s="10">
        <f t="shared" si="11"/>
        <v>3.6411302068161955E-5</v>
      </c>
      <c r="J38" s="12">
        <f>SUMIFS('[7]TABLO-1'!S4:S32873,'[7]TABLO-1'!H4:H32873,"=Dağıtım-AG",'[7]TABLO-1'!J4:J32873,"=Dışsal",'[7]TABLO-1'!K4:K32873,"=Bildirimsiz",'[7]TABLO-1'!I4:I32873,"=Uzun",'[7]TABLO-1'!D4:D32873,"=SARAY")/P8</f>
        <v>0</v>
      </c>
      <c r="K38" s="10">
        <f>SUMIFS('[7]TABLO-1'!T4:T32873,'[7]TABLO-1'!H4:H32873,"=Dağıtım-AG",'[7]TABLO-1'!J4:J32873,"=Dışsal",'[7]TABLO-1'!K4:K32873,"=bildirimsiz",'[7]TABLO-1'!I4:I32873,"=Uzun",'[7]TABLO-1'!D4:D32873,"=SARAY")/P14</f>
        <v>0</v>
      </c>
      <c r="L38" s="10">
        <f t="shared" si="12"/>
        <v>0</v>
      </c>
      <c r="M38" s="11">
        <f t="shared" si="13"/>
        <v>2.7864467231386532E-5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Sebep",'[7]TABLO-1'!K4:K32873,"=Bildirimsiz",'[7]TABLO-1'!I4:I32873,"=Uzun",'[7]TABLO-1'!D4:D32873,"=SARAY")/P6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Sebep",'[7]TABLO-1'!K4:K32873,"=Bildirimsiz",'[7]TABLO-1'!I4:I32873,"=Uzun",'[7]TABLO-1'!D4:D32873,"=SARAY")/P12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Sebep",'[7]TABLO-1'!K4:K32873,"=Bildirimsiz",'[7]TABLO-1'!I4:I32873,"=Uzun",'[7]TABLO-1'!D4:D32873,"=SARAY")/P7</f>
        <v>0</v>
      </c>
      <c r="H39" s="10">
        <f>SUMIFS('[7]TABLO-1'!R4:R32873,'[7]TABLO-1'!H4:H32873,"=Dağıtım-AG",'[7]TABLO-1'!J4:J32873,"=Mücbir Sebep",'[7]TABLO-1'!K4:K32873,"=Bildirimsiz",'[7]TABLO-1'!I4:I32873,"=Uzun",'[7]TABLO-1'!D4:D32873,"=SARAY")/P13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Sebep",'[7]TABLO-1'!K4:K32873,"=Bildirimsiz",'[7]TABLO-1'!I4:I32873,"=Uzun",'[7]TABLO-1'!D4:D32873,"=SARAY")/P8</f>
        <v>0</v>
      </c>
      <c r="K39" s="10">
        <f>SUMIFS('[7]TABLO-1'!T4:T32873,'[7]TABLO-1'!H4:H32873,"=Dağıtım-AG",'[7]TABLO-1'!J4:J32873,"=Mücbir Sebep",'[7]TABLO-1'!K4:K32873,"=bildirimsiz",'[7]TABLO-1'!I4:I32873,"=Uzun",'[7]TABLO-1'!D4:D32873,"=SARAY")/P14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SUMIFS('[7]TABLO-1'!O4:O32873,'[7]TABLO-1'!H4:H32873,"=Dağıtım-AG",'[7]TABLO-1'!J4:J32873,"=Güvenlik",'[7]TABLO-1'!K4:K32873,"=Bildirimsiz",'[7]TABLO-1'!I4:I32873,"=Uzun",'[7]TABLO-1'!D4:D32873,"=SARAY")/P6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SUMIFS('[7]TABLO-1'!P4:P32873,'[7]TABLO-1'!H4:H32873,"=Dağıtım-AG",'[7]TABLO-1'!J4:J32873,"=Güvenlik",'[7]TABLO-1'!K4:K32873,"=Bildirimsiz",'[7]TABLO-1'!I4:I32873,"=Uzun",'[7]TABLO-1'!D4:D32873,"=SARAY")/P12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SUMIFS('[7]TABLO-1'!Q4:Q32873,'[7]TABLO-1'!H4:H32873,"=Dağıtım-AG",'[7]TABLO-1'!J4:J32873,"=Güvenlik",'[7]TABLO-1'!K4:K32873,"=Bildirimsiz",'[7]TABLO-1'!I4:I32873,"=Uzun",'[7]TABLO-1'!D4:D32873,"=SARAY")/P7</f>
        <v>0</v>
      </c>
      <c r="H40" s="10">
        <f>SUMIFS('[7]TABLO-1'!R4:R32873,'[7]TABLO-1'!H4:H32873,"=Dağıtım-AG",'[7]TABLO-1'!J4:J32873,"=Güvenlik",'[7]TABLO-1'!K4:K32873,"=Bildirimsiz",'[7]TABLO-1'!I4:I32873,"=Uzun",'[7]TABLO-1'!D4:D32873,"=SARAY")/P13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SUMIFS('[7]TABLO-1'!S4:S32873,'[7]TABLO-1'!H4:H32873,"=Dağıtım-AG",'[7]TABLO-1'!J4:J32873,"=Güvenlik",'[7]TABLO-1'!K4:K32873,"=Bildirimsiz",'[7]TABLO-1'!I4:I32873,"=Uzun",'[7]TABLO-1'!D4:D32873,"=SARAY")/P8</f>
        <v>0</v>
      </c>
      <c r="K40" s="10">
        <f>SUMIFS('[7]TABLO-1'!T4:T32873,'[7]TABLO-1'!H4:H32873,"=Dağıtım-AG",'[7]TABLO-1'!J4:J32873,"=Güvenlik",'[7]TABLO-1'!K4:K32873,"=bildirimsiz",'[7]TABLO-1'!I4:I32873,"=Uzun",'[7]TABLO-1'!D4:D32873,"=SARAY")/P14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0.10869565217391304</v>
      </c>
      <c r="H41" s="10">
        <f t="shared" si="14"/>
        <v>6.825001829759203E-2</v>
      </c>
      <c r="I41" s="10">
        <f t="shared" si="14"/>
        <v>6.8453247888144483E-2</v>
      </c>
      <c r="J41" s="10">
        <f t="shared" si="14"/>
        <v>9.7014925373134331E-2</v>
      </c>
      <c r="K41" s="10">
        <f t="shared" si="14"/>
        <v>0.18407720144752715</v>
      </c>
      <c r="L41" s="10">
        <f t="shared" si="14"/>
        <v>0.18269230769230768</v>
      </c>
      <c r="M41" s="10">
        <f t="shared" si="14"/>
        <v>9.5268613464110571E-2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İşletmecisi",'[7]TABLO-1'!K4:K32873,"=Bildirimli",'[7]TABLO-1'!I4:I32873,"=Uzun",'[7]TABLO-1'!D4:D32873,"=SARAY")/P6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İşletmecisi",'[7]TABLO-1'!K4:K32873,"=Bildirimli",'[7]TABLO-1'!I4:I32873,"=Uzun",'[7]TABLO-1'!D4:D32873,"=SARAY")/P12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İşletmecisi",'[7]TABLO-1'!K4:K32873,"=Bildirimli",'[7]TABLO-1'!I4:I32873,"=Uzun",'[7]TABLO-1'!D4:D32873,"=SARAY")/P7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İşletmecisi",'[7]TABLO-1'!K4:K32873,"=Bildirimli",'[7]TABLO-1'!I4:I32873,"=Uzun",'[7]TABLO-1'!D4:D32873,"=SARAY")/P13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İşletmecisi",'[7]TABLO-1'!K4:K32873,"=Bildirimli",'[7]TABLO-1'!I4:I32873,"=Uzun",'[7]TABLO-1'!D4:D32873,"=SARAY")/P8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İşletmecisi",'[7]TABLO-1'!K4:K32873,"=bildirimli",'[7]TABLO-1'!I4:I32873,"=Uzun",'[7]TABLO-1'!D4:D32873,"=SARAY")/P14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İşletmecisi",'[7]TABLO-1'!K4:K32873,"=Bildirimli",'[7]TABLO-1'!I4:I32873,"=Uzun",'[7]TABLO-1'!D4:D32873,"=SARAY")/P6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İşletmecisi",'[7]TABLO-1'!K4:K32873,"=Bildirimli",'[7]TABLO-1'!I4:I32873,"=Uzun",'[7]TABLO-1'!D4:D32873,"=SARAY")/P12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İşletmecisi",'[7]TABLO-1'!K4:K32873,"=Bildirimli",'[7]TABLO-1'!I4:I32873,"=Uzun",'[7]TABLO-1'!D4:D32873,"=SARAY")/P7</f>
        <v>8.6956521739130432E-2</v>
      </c>
      <c r="H47" s="10">
        <f>SUMIFS('[7]TABLO-1'!R4:R32873,'[7]TABLO-1'!H4:H32873,"=Dağıtım-OG",'[7]TABLO-1'!J4:J32873,"=Şebeke İşletmecisi",'[7]TABLO-1'!K4:K32873,"=Bildirimli",'[7]TABLO-1'!I4:I32873,"=Uzun",'[7]TABLO-1'!D4:D32873,"=SARAY")/P13</f>
        <v>0.27285369245407304</v>
      </c>
      <c r="I47" s="10">
        <f t="shared" ref="I47:I50" si="16">IFERROR((((G47*$P$7)+(H47*$P$13))/$P$20),"0,00")</f>
        <v>0.2719196038450335</v>
      </c>
      <c r="J47" s="10">
        <f>SUMIFS('[7]TABLO-1'!S4:S32873,'[7]TABLO-1'!H4:H32873,"=Dağıtım-OG",'[7]TABLO-1'!J4:J32873,"=Şebeke İşletmecisi",'[7]TABLO-1'!K4:K32873,"=Bildirimli",'[7]TABLO-1'!I4:I32873,"=Uzun",'[7]TABLO-1'!D4:D32873,"=SARAY")/P8</f>
        <v>1.4925373134328358E-2</v>
      </c>
      <c r="K47" s="10">
        <f>SUMIFS('[7]TABLO-1'!T4:T32873,'[7]TABLO-1'!H4:H32873,"=Dağıtım-OG",'[7]TABLO-1'!J4:J32873,"=Şebeke İşletmecisi",'[7]TABLO-1'!K4:K32873,"=bildirimli",'[7]TABLO-1'!I4:I32873,"=Uzun",'[7]TABLO-1'!D4:D32873,"=SARAY")/P14</f>
        <v>7.8045838359469238E-2</v>
      </c>
      <c r="L47" s="10">
        <f t="shared" ref="L47:L50" si="17">IFERROR((((J47*$P$8)+(K47*$P$14))/$P$23),"0,00")</f>
        <v>7.7041785375118715E-2</v>
      </c>
      <c r="M47" s="11">
        <f t="shared" ref="M47:M50" si="18">IFERROR((((F47*$P$17)+(I47*$P$20)+(L47*$P$23))/$P$26),"0,00")</f>
        <v>0.2261758805171645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SUMIFS('[7]TABLO-1'!O4:O32873,'[7]TABLO-1'!H4:H32873,"=Dağıtım-OG",'[7]TABLO-1'!J4:J32873,"=Güvenlik",'[7]TABLO-1'!K4:K32873,"=Bildirimli",'[7]TABLO-1'!I4:I32873,"=Uzun",'[7]TABLO-1'!D4:D32873,"=SARAY")/P6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SUMIFS('[7]TABLO-1'!P4:P32873,'[7]TABLO-1'!H4:H32873,"=Dağıtım-OG",'[7]TABLO-1'!J4:J32873,"=Güvenlik",'[7]TABLO-1'!K4:K32873,"=Bildirimli",'[7]TABLO-1'!I4:I32873,"=Uzun",'[7]TABLO-1'!D4:D32873,"=SARAY")/P12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SUMIFS('[7]TABLO-1'!Q4:Q32873,'[7]TABLO-1'!H4:H32873,"=Dağıtım-OG",'[7]TABLO-1'!J4:J32873,"=Güvenlik",'[7]TABLO-1'!K4:K32873,"=Bildirimli",'[7]TABLO-1'!I4:I32873,"=Uzun",'[7]TABLO-1'!D4:D32873,"=SARAY")/P7</f>
        <v>0</v>
      </c>
      <c r="H48" s="10">
        <f>SUMIFS('[7]TABLO-1'!R4:R32873,'[7]TABLO-1'!H4:H32873,"=Dağıtım-OG",'[7]TABLO-1'!J4:J32873,"=Güvenlik",'[7]TABLO-1'!K4:K32873,"=Bildirimli",'[7]TABLO-1'!I4:I32873,"=Uzun",'[7]TABLO-1'!D4:D32873,"=SARAY")/P13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SUMIFS('[7]TABLO-1'!S4:S32873,'[7]TABLO-1'!H4:H32873,"=Dağıtım-OG",'[7]TABLO-1'!J4:J32873,"=Güvenlik",'[7]TABLO-1'!K4:K32873,"=Bildirimli",'[7]TABLO-1'!I4:I32873,"=Uzun",'[7]TABLO-1'!D4:D32873,"=SARAY")/P8</f>
        <v>0</v>
      </c>
      <c r="K48" s="10">
        <f>SUMIFS('[7]TABLO-1'!T4:T32873,'[7]TABLO-1'!H4:H32873,"=Dağıtım-OG",'[7]TABLO-1'!J4:J32873,"=Güvenlik",'[7]TABLO-1'!K4:K32873,"=bildirimli",'[7]TABLO-1'!I4:I32873,"=Uzun",'[7]TABLO-1'!D4:D32873,"=SARAY")/P14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İşletmecisi",'[7]TABLO-1'!K4:K32873,"=Bildirimli",'[7]TABLO-1'!I4:I32873,"=Uzun",'[7]TABLO-1'!D4:D32873,"=SARAY")/P6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İşletmecisi",'[7]TABLO-1'!K4:K32873,"=Bildirimli",'[7]TABLO-1'!I4:I32873,"=Uzun",'[7]TABLO-1'!D4:D32873,"=SARAY")/P12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İşletmecisi",'[7]TABLO-1'!K4:K32873,"=Bildirimli",'[7]TABLO-1'!I4:I32873,"=Uzun",'[7]TABLO-1'!D4:D32873,"=SARAY")/P7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İşletmecisi",'[7]TABLO-1'!K4:K32873,"=Bildirimli",'[7]TABLO-1'!I4:I32873,"=Uzun",'[7]TABLO-1'!D4:D32873,"=SARAY")/P13</f>
        <v>1.5479762863207201E-2</v>
      </c>
      <c r="I49" s="10">
        <f t="shared" si="16"/>
        <v>1.5401980774832508E-2</v>
      </c>
      <c r="J49" s="12">
        <f>SUMIFS('[7]TABLO-1'!S4:S32873,'[7]TABLO-1'!H4:H32873,"=Dağıtım-AG",'[7]TABLO-1'!J4:J32873,"=Şebeke İşletmecisi",'[7]TABLO-1'!K4:K32873,"=Bildirimli",'[7]TABLO-1'!I4:I32873,"=Uzun",'[7]TABLO-1'!D4:D32873,"=SARAY")/P8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İşletmecisi",'[7]TABLO-1'!K4:K32873,"=bildirimli",'[7]TABLO-1'!I4:I32873,"=Uzun",'[7]TABLO-1'!D4:D32873,"=SARAY")/P14</f>
        <v>0</v>
      </c>
      <c r="L49" s="10">
        <f t="shared" si="17"/>
        <v>0</v>
      </c>
      <c r="M49" s="11">
        <f t="shared" si="18"/>
        <v>1.1786669638876505E-2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SUMIFS('[7]TABLO-1'!O4:O32873,'[7]TABLO-1'!H4:H32873,"=Dağıtım-AG",'[7]TABLO-1'!J4:J32873,"=Güvenlik",'[7]TABLO-1'!K4:K32873,"=Bildirimli",'[7]TABLO-1'!I4:I32873,"=Uzun",'[7]TABLO-1'!D4:D32873,"=SARAY")/P6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SUMIFS('[7]TABLO-1'!P4:P32873,'[7]TABLO-1'!H4:H32873,"=Dağıtım-AG",'[7]TABLO-1'!J4:J32873,"=Güvenlik",'[7]TABLO-1'!K4:K32873,"=Bildirimli",'[7]TABLO-1'!I4:I32873,"=Uzun",'[7]TABLO-1'!D4:D32873,"=SARAY")/P12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SUMIFS('[7]TABLO-1'!Q4:Q32873,'[7]TABLO-1'!H4:H32873,"=Dağıtım-AG",'[7]TABLO-1'!J4:J32873,"=Güvenlik",'[7]TABLO-1'!K4:K32873,"=Bildirimli",'[7]TABLO-1'!I4:I32873,"=Uzun",'[7]TABLO-1'!D4:D32873,"=SARAY")/P7</f>
        <v>0</v>
      </c>
      <c r="H50" s="10">
        <f>SUMIFS('[7]TABLO-1'!R4:R32873,'[7]TABLO-1'!H4:H32873,"=Dağıtım-AG",'[7]TABLO-1'!J4:J32873,"=Güvenlik",'[7]TABLO-1'!K4:K32873,"=Bildirimli",'[7]TABLO-1'!I4:I32873,"=Uzun",'[7]TABLO-1'!D4:D32873,"=SARAY")/P13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SUMIFS('[7]TABLO-1'!S4:S32873,'[7]TABLO-1'!H4:H32873,"=Dağıtım-AG",'[7]TABLO-1'!J4:J32873,"=Güvenlik",'[7]TABLO-1'!K4:K32873,"=Bildirimli",'[7]TABLO-1'!I4:I32873,"=Uzun",'[7]TABLO-1'!D4:D32873,"=SARAY")/P8</f>
        <v>0</v>
      </c>
      <c r="K50" s="10">
        <f>SUMIFS('[7]TABLO-1'!T4:T32873,'[7]TABLO-1'!H4:H32873,"=Dağıtım-AG",'[7]TABLO-1'!J4:J32873,"=Güvenlik",'[7]TABLO-1'!K4:K32873,"=bildirimli",'[7]TABLO-1'!I4:I32873,"=Uzun",'[7]TABLO-1'!D4:D32873,"=SARAY")/P14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8.6956521739130432E-2</v>
      </c>
      <c r="H51" s="10">
        <f t="shared" si="19"/>
        <v>0.28833345531728022</v>
      </c>
      <c r="I51" s="10">
        <f t="shared" si="19"/>
        <v>0.28732158461986601</v>
      </c>
      <c r="J51" s="10">
        <f t="shared" si="19"/>
        <v>1.4925373134328358E-2</v>
      </c>
      <c r="K51" s="10">
        <f t="shared" si="19"/>
        <v>7.8045838359469238E-2</v>
      </c>
      <c r="L51" s="10">
        <f t="shared" si="19"/>
        <v>7.7041785375118715E-2</v>
      </c>
      <c r="M51" s="10">
        <f t="shared" si="19"/>
        <v>0.23796255015604101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SUMIFS('[7]TABLO-1'!O1:O32873,'[7]TABLO-1'!H1:H32873,"=İletim",'[7]TABLO-1'!K1:K32873,"=Bildirimsiz",'[7]TABLO-1'!I1:I32873,"=Kısa",'[7]TABLO-1'!D1:D32873,"=SARAY")/P6</f>
        <v>#DIV/0!</v>
      </c>
      <c r="D56" s="10" t="e">
        <f>SUMIFS('[7]TABLO-1'!P1:P32873,'[7]TABLO-1'!H1:H32873,"=İletim",'[7]TABLO-1'!K1:K32873,"=Bildirimsiz",'[7]TABLO-1'!I1:I32873,"=Kısa",'[7]TABLO-1'!D1:D32873,"=SARAY")/P12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SUMIFS('[7]TABLO-1'!Q1:Q32873,'[7]TABLO-1'!H1:H32873,"=İletim",'[7]TABLO-1'!K1:K32873,"=Bildirimsiz",'[7]TABLO-1'!I1:I32873,"=Kısa",'[7]TABLO-1'!D1:D32873,"=SARAY")/P7</f>
        <v>0</v>
      </c>
      <c r="G56" s="10">
        <f>SUMIFS('[7]TABLO-1'!R1:R32873,'[7]TABLO-1'!H1:H32873,"=İletim",'[7]TABLO-1'!K1:K32873,"=Bildirimsiz",'[7]TABLO-1'!I1:I32873,"=Kısa",'[7]TABLO-1'!D1:D32873,"=SARAY")/P13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SUMIFS('[7]TABLO-1'!S1:S32873,'[7]TABLO-1'!H1:H32873,"=İletim",'[7]TABLO-1'!K1:K32873,"=Bildirimsiz",'[7]TABLO-1'!I1:I32873,"=Kısa",'[7]TABLO-1'!D1:D32873,"=SARAY")/P8</f>
        <v>0</v>
      </c>
      <c r="J56" s="10">
        <f>SUMIFS('[7]TABLO-1'!T1:T32873,'[7]TABLO-1'!H1:H32873,"=İletim",'[7]TABLO-1'!K1:K32873,"=Bildirimsiz",'[7]TABLO-1'!I1:I32873,"=Kısa",'[7]TABLO-1'!D1:D32873,"=SARAY")/P14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SUMIFS('[7]TABLO-1'!O4:O32873,'[7]TABLO-1'!H4:H32873,"=Dağıtım-OG",'[7]TABLO-1'!K4:K32873,"=Bildirimsiz",'[7]TABLO-1'!I4:I32873,"=Kısa",'[7]TABLO-1'!D4:D32873,"=SARAY")/P6</f>
        <v>#DIV/0!</v>
      </c>
      <c r="D57" s="10" t="e">
        <f>SUMIFS('[7]TABLO-1'!P4:P32873,'[7]TABLO-1'!H4:H32873,"=Dağıtım-OG",'[7]TABLO-1'!K4:K32873,"=Bildirimsiz",'[7]TABLO-1'!I4:I32873,"=Kısa",'[7]TABLO-1'!D4:D32873,"=SARAY")/P12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SUMIFS('[7]TABLO-1'!Q4:Q32873,'[7]TABLO-1'!H4:H32873,"=Dağıtım-OG",'[7]TABLO-1'!K4:K32873,"=Bildirimsiz",'[7]TABLO-1'!I4:I32873,"=Kısa",'[7]TABLO-1'!D4:D32873,"=SARAY")/P7</f>
        <v>0</v>
      </c>
      <c r="G57" s="10">
        <f>SUMIFS('[7]TABLO-1'!R4:R32873,'[7]TABLO-1'!H4:H32873,"=Dağıtım-OG",'[7]TABLO-1'!K4:K32873,"=Bildirimsiz",'[7]TABLO-1'!I4:I32873,"=Kısa",'[7]TABLO-1'!D4:D32873,"=SARAY")/P13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SUMIFS('[7]TABLO-1'!S4:S32873,'[7]TABLO-1'!H4:H32873,"=Dağıtım-OG",'[7]TABLO-1'!K4:K32873,"=Bildirimsiz",'[7]TABLO-1'!I4:I32873,"=Kısa",'[7]TABLO-1'!D4:D32873,"=SARAY")/P8</f>
        <v>0</v>
      </c>
      <c r="J57" s="10">
        <f>SUMIFS('[7]TABLO-1'!T4:T32873,'[7]TABLO-1'!H4:H32873,"=Dağıtım-OG",'[7]TABLO-1'!K4:K32873,"=Bildirimsiz",'[7]TABLO-1'!I4:I32873,"=Kısa",'[7]TABLO-1'!D4:D32873,"=SARAY")/P14</f>
        <v>0</v>
      </c>
      <c r="K57" s="10">
        <f>IFERROR((((I57*$P$8)+(J57*$P$14))/$P$23),"0,00")</f>
        <v>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SUMIFS('[7]TABLO-1'!O4:O32873,'[7]TABLO-1'!H4:H32873,"=Dağıtım-AG",'[7]TABLO-1'!K4:K32873,"=Bildirimsiz",'[7]TABLO-1'!I4:I32873,"=Kısa",'[7]TABLO-1'!D4:D32873,"=SARAY")/P6</f>
        <v>#DIV/0!</v>
      </c>
      <c r="D58" s="10" t="e">
        <f>SUMIFS('[7]TABLO-1'!P4:P32873,'[7]TABLO-1'!H4:H32873,"=Dağıtım-AG",'[7]TABLO-1'!K4:K32873,"=Bildirimsiz",'[7]TABLO-1'!I4:I32873,"=Kısa",'[7]TABLO-1'!D4:D32873,"=SARAY")/P12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SUMIFS('[7]TABLO-1'!Q4:Q32873,'[7]TABLO-1'!H4:H32873,"=Dağıtım-AG",'[7]TABLO-1'!K4:K32873,"=Bildirimsiz",'[7]TABLO-1'!I4:I32873,"=Kısa",'[7]TABLO-1'!D4:D32873,"=SARAY")/P7</f>
        <v>0</v>
      </c>
      <c r="G58" s="10">
        <f>SUMIFS('[7]TABLO-1'!R4:R32873,'[7]TABLO-1'!H4:H32873,"=Dağıtım-AG",'[7]TABLO-1'!K4:K32873,"=Bildirimsiz",'[7]TABLO-1'!I4:I32873,"=Kısa",'[7]TABLO-1'!D4:D32873,"=SARAY")/P13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SUMIFS('[7]TABLO-1'!S4:S32873,'[7]TABLO-1'!H4:H32873,"=Dağıtım-AG",'[7]TABLO-1'!K4:K32873,"=Bildirimsiz",'[7]TABLO-1'!I4:I32873,"=Kısa",'[7]TABLO-1'!D4:D32873,"=SARAY")/P8</f>
        <v>0</v>
      </c>
      <c r="J58" s="10">
        <f>SUMIFS('[7]TABLO-1'!T4:T32873,'[7]TABLO-1'!H4:H32873,"=Dağıtım-AG",'[7]TABLO-1'!K4:K32873,"=Bildirimsiz",'[7]TABLO-1'!I4:I32873,"=Kısa",'[7]TABLO-1'!D4:D32873,"=SARAY")/P14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</v>
      </c>
      <c r="G59" s="10">
        <f t="shared" si="20"/>
        <v>0</v>
      </c>
      <c r="H59" s="10">
        <f t="shared" si="20"/>
        <v>0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0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138</v>
      </c>
      <c r="G65" s="27">
        <f>P13</f>
        <v>27326</v>
      </c>
      <c r="H65" s="17">
        <f>SUM(F65:G65)</f>
        <v>27464</v>
      </c>
      <c r="I65" s="17">
        <f>P8</f>
        <v>134</v>
      </c>
      <c r="J65" s="27">
        <f>P14</f>
        <v>8290</v>
      </c>
      <c r="K65" s="17">
        <f>SUM(I65:J65)</f>
        <v>8424</v>
      </c>
      <c r="L65" s="17">
        <f>H65+E65+K65</f>
        <v>35888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Q71"/>
  <sheetViews>
    <sheetView zoomScale="70" zoomScaleNormal="70" workbookViewId="0">
      <selection activeCell="Q25" sqref="Q2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İşletmecisi",'[7]TABLO-1'!K4:K32873,"=Bildirimsiz",'[7]TABLO-1'!I4:I32873,"=Uzun",'[7]TABLO-1'!D4:D32873,"=HAYRABOLU")/P6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İşletmecisi",'[7]TABLO-1'!K4:K32873,"=Bildirimsiz",'[7]TABLO-1'!I4:I32873,"=Uzun",'[7]TABLO-1'!D4:D32873,"=HAYRABOLU")/P12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İşletmecisi",'[7]TABLO-1'!K4:K32873,"=Bildirimsiz",'[7]TABLO-1'!I4:I32873,"=Uzun",'[7]TABLO-1'!D4:D32873,"=HAYRABOLU")/P7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İşletmecisi",'[7]TABLO-1'!K4:K32873,"=Bildirimsiz",'[7]TABLO-1'!I4:I32873,"=Uzun",'[7]TABLO-1'!D4:D32873,"=HAYRABOLU")/P13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İşletmecisi",'[7]TABLO-1'!K4:K32873,"=Bildirimsiz",'[7]TABLO-1'!I4:I32873,"=Uzun",'[7]TABLO-1'!D4:D32873,"=HAYRABOLU")/P8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İşletmecisi",'[7]TABLO-1'!K4:K32873,"=Bildirimsiz",'[7]TABLO-1'!I4:I32873,"=Uzun",'[7]TABLO-1'!D4:D32873,"=HAYRABOLU")/P14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2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Sebep",'[7]TABLO-1'!K4:K32873,"=Bildirimsiz",'[7]TABLO-1'!I4:I32873,"=Uzun",'[7]TABLO-1'!D4:D32873,"=HAYRABOLU")/P6</f>
        <v>0</v>
      </c>
      <c r="E7" s="10">
        <f>SUMIFS('[7]TABLO-1'!V4:V32873,'[7]TABLO-1'!H4:H32873,"=İletim",'[7]TABLO-1'!J4:J32873,"=Mücbir Sebep",'[7]TABLO-1'!K4:K32873,"=Bildirimsiz",'[7]TABLO-1'!I4:I32873,"=Uzun",'[7]TABLO-1'!D4:D32873,"=HAYRABOLU")/P12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Sebep",'[7]TABLO-1'!K4:K32873,"=Bildirimsiz",'[7]TABLO-1'!I4:I32873,"=Uzun",'[7]TABLO-1'!D4:D32873,"=HAYRABOLU")/P7</f>
        <v>0</v>
      </c>
      <c r="H7" s="10">
        <f>SUMIFS('[7]TABLO-1'!X4:X32873,'[7]TABLO-1'!H4:H32873,"=İletim",'[7]TABLO-1'!J4:J32873,"=Mücbir Sebep",'[7]TABLO-1'!K4:K32873,"=Bildirimsiz",'[7]TABLO-1'!I4:I32873,"=Uzun",'[7]TABLO-1'!D4:D32873,"=HAYRABOLU")/P13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Sebep",'[7]TABLO-1'!K4:K32873,"=Bildirimsiz",'[7]TABLO-1'!I4:I32873,"=Uzun",'[7]TABLO-1'!D4:D32873,"=HAYRABOLU")/P8</f>
        <v>0</v>
      </c>
      <c r="K7" s="10">
        <f>SUMIFS('[7]TABLO-1'!Z4:Z32873,'[7]TABLO-1'!H4:H32873,"=İletim",'[7]TABLO-1'!J4:J32873,"=Mücbir Sebep",'[7]TABLO-1'!K4:K32873,"=Bildirimsiz",'[7]TABLO-1'!I4:I32873,"=Uzun",'[7]TABLO-1'!D4:D32873,"=HAYRABOLU")/P14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219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İşletmecisi",'[7]TABLO-1'!K4:K32873,"=Bildirimsiz",'[7]TABLO-1'!I4:I32873,"=Uzun",'[7]TABLO-1'!D4:D32873,"=HAYRABOLU")/P6</f>
        <v>0</v>
      </c>
      <c r="E8" s="10">
        <f>SUMIFS('[7]TABLO-1'!V4:V32873,'[7]TABLO-1'!H4:H32873,"=Dağıtım-OG",'[7]TABLO-1'!J4:J32873,"=Şebeke İşletmecisi",'[7]TABLO-1'!K4:K32873,"=Bildirimsiz",'[7]TABLO-1'!I4:I32873,"=Uzun",'[7]TABLO-1'!D4:D32873,"=HAYRABOLU")/P12</f>
        <v>0.38551446182552623</v>
      </c>
      <c r="F8" s="10">
        <f t="shared" si="0"/>
        <v>0.38442080377779425</v>
      </c>
      <c r="G8" s="10">
        <f>SUMIFS('[7]TABLO-1'!W4:W32873,'[7]TABLO-1'!H4:H32873,"=Dağıtım-OG",'[7]TABLO-1'!J4:J32873,"=Şebeke İşletmecisi",'[7]TABLO-1'!K4:K32873,"=Bildirimsiz",'[7]TABLO-1'!I4:I32873,"=Uzun",'[7]TABLO-1'!D4:D32873,"=HAYRABOLU")/P7</f>
        <v>13.734779300133072</v>
      </c>
      <c r="H8" s="10">
        <f>SUMIFS('[7]TABLO-1'!X4:X32873,'[7]TABLO-1'!H4:H32873,"=Dağıtım-OG",'[7]TABLO-1'!J4:J32873,"=Şebeke İşletmecisi",'[7]TABLO-1'!K4:K32873,"=Bildirimsiz",'[7]TABLO-1'!I4:I32873,"=Uzun",'[7]TABLO-1'!D4:D32873,"=HAYRABOLU")/P13</f>
        <v>4.0637087816458894</v>
      </c>
      <c r="I8" s="10">
        <f t="shared" si="1"/>
        <v>4.2215185159092599</v>
      </c>
      <c r="J8" s="10">
        <f>SUMIFS('[7]TABLO-1'!Y4:Y32873,'[7]TABLO-1'!H4:H32873,"=Dağıtım-OG",'[7]TABLO-1'!J4:J32873,"=Şebeke İşletmecisi",'[7]TABLO-1'!K4:K32873,"=Bildirimsiz",'[7]TABLO-1'!I4:I32873,"=Uzun",'[7]TABLO-1'!D4:D32873,"=HAYRABOLU")/P8</f>
        <v>33.741567460279576</v>
      </c>
      <c r="K8" s="10">
        <f>SUMIFS('[7]TABLO-1'!Z4:Z32873,'[7]TABLO-1'!H4:H32873,"=Dağıtım-OG",'[7]TABLO-1'!J4:J32873,"=Şebeke İşletmecisi",'[7]TABLO-1'!K4:K32873,"=Bildirimsiz",'[7]TABLO-1'!I4:I32873,"=Uzun",'[7]TABLO-1'!D4:D32873,"=HAYRABOLU")/P14</f>
        <v>63.846506440003012</v>
      </c>
      <c r="L8" s="10">
        <f t="shared" si="2"/>
        <v>63.215170807922931</v>
      </c>
      <c r="M8" s="11">
        <f t="shared" si="3"/>
        <v>25.448107241765015</v>
      </c>
      <c r="O8" s="20" t="s">
        <v>36</v>
      </c>
      <c r="P8" s="53">
        <v>168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SUMIFS('[7]TABLO-1'!U4:U32873,'[7]TABLO-1'!H4:H32873,"=Dağıtım-OG",'[7]TABLO-1'!J4:J32873,"=Dışsal",'[7]TABLO-1'!K4:K32873,"=Bildirimsiz",'[7]TABLO-1'!I4:I32873,"=Uzun",'[7]TABLO-1'!D4:D32873,"=HAYRABOLU")/P6</f>
        <v>0</v>
      </c>
      <c r="E9" s="10">
        <f>SUMIFS('[7]TABLO-1'!V4:V32873,'[7]TABLO-1'!H4:H32873,"=Dağıtım-OG",'[7]TABLO-1'!J4:J32873,"=Dışsal",'[7]TABLO-1'!K4:K32873,"=Bildirimsiz",'[7]TABLO-1'!I4:I32873,"=Uzun",'[7]TABLO-1'!D4:D32873,"=HAYRABOLU")/P12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SUMIFS('[7]TABLO-1'!W4:W32873,'[7]TABLO-1'!H4:H32873,"=Dağıtım-OG",'[7]TABLO-1'!J4:J32873,"=Dışsal",'[7]TABLO-1'!K4:K32873,"=Bildirimsiz",'[7]TABLO-1'!I4:I32873,"=Uzun",'[7]TABLO-1'!D4:D32873,"=HAYRABOLU")/P7</f>
        <v>0</v>
      </c>
      <c r="H9" s="10">
        <f>SUMIFS('[7]TABLO-1'!X4:X32873,'[7]TABLO-1'!H4:H32873,"=Dağıtım-OG",'[7]TABLO-1'!J4:J32873,"=Dışsal",'[7]TABLO-1'!K4:K32873,"=Bildirimsiz",'[7]TABLO-1'!I4:I32873,"=Uzun",'[7]TABLO-1'!D4:D32873,"=HAYRABOLU")/P13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SUMIFS('[7]TABLO-1'!Y4:Y32873,'[7]TABLO-1'!H4:H32873,"=Dağıtım-OG",'[7]TABLO-1'!J4:J32873,"=Dışsal",'[7]TABLO-1'!K4:K32873,"=Bildirimsiz",'[7]TABLO-1'!I4:I32873,"=Uzun",'[7]TABLO-1'!D4:D32873,"=HAYRABOLU")/P8</f>
        <v>0</v>
      </c>
      <c r="K9" s="10">
        <f>SUMIFS('[7]TABLO-1'!Z4:Z32873,'[7]TABLO-1'!H4:H32873,"=Dağıtım-OG",'[7]TABLO-1'!J4:J32873,"=Dışsal",'[7]TABLO-1'!K4:K32873,"=Bildirimsiz",'[7]TABLO-1'!I4:I32873,"=Uzun",'[7]TABLO-1'!D4:D32873,"=HAYRABOLU")/P14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389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Sebep",'[7]TABLO-1'!K4:K32873,"=Bildirimsiz",'[7]TABLO-1'!I4:I32873,"=Uzun",'[7]TABLO-1'!D4:D32873,"=HAYRABOLU")/P6</f>
        <v>0</v>
      </c>
      <c r="E10" s="10">
        <f>SUMIFS('[7]TABLO-1'!V4:V32873,'[7]TABLO-1'!H4:H32873,"=Dağıtım-OG",'[7]TABLO-1'!J4:J32873,"=Mücbir Sebep",'[7]TABLO-1'!K4:K32873,"=Bildirimsiz",'[7]TABLO-1'!I4:I32873,"=Uzun",'[7]TABLO-1'!D4:D32873,"=HAYRABOLU")/P12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Sebep",'[7]TABLO-1'!K4:K32873,"=Bildirimsiz",'[7]TABLO-1'!I4:I32873,"=Uzun",'[7]TABLO-1'!D4:D32873,"=HAYRABOLU")/P7</f>
        <v>0</v>
      </c>
      <c r="H10" s="10">
        <f>SUMIFS('[7]TABLO-1'!X4:X32873,'[7]TABLO-1'!H4:H32873,"=Dağıtım-OG",'[7]TABLO-1'!J4:J32873,"=Mücbir Sebep",'[7]TABLO-1'!K4:K32873,"=Bildirimsiz",'[7]TABLO-1'!I4:I32873,"=Uzun",'[7]TABLO-1'!D4:D32873,"=HAYRABOLU")/P13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Sebep",'[7]TABLO-1'!K4:K32873,"=Bildirimsiz",'[7]TABLO-1'!I4:I32873,"=Uzun",'[7]TABLO-1'!D4:D32873,"=HAYRABOLU")/P8</f>
        <v>0</v>
      </c>
      <c r="K10" s="10">
        <f>SUMIFS('[7]TABLO-1'!Z4:Z32873,'[7]TABLO-1'!H4:H32873,"=Dağıtım-OG",'[7]TABLO-1'!J4:J32873,"=Mücbir Sebep",'[7]TABLO-1'!K4:K32873,"=Bildirimsiz",'[7]TABLO-1'!I4:I32873,"=Uzun",'[7]TABLO-1'!D4:D32873,"=HAYRABOLU")/P14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SUMIFS('[7]TABLO-1'!U4:U32873,'[7]TABLO-1'!H4:H32873,"=Dağıtım-OG",'[7]TABLO-1'!J4:J32873,"=Güvenlik",'[7]TABLO-1'!K4:K32873,"=Bildirimsiz",'[7]TABLO-1'!I4:I32873,"=Uzun",'[7]TABLO-1'!D4:D32873,"=HAYRABOLU")/P6</f>
        <v>0</v>
      </c>
      <c r="E11" s="10">
        <f>SUMIFS('[7]TABLO-1'!V4:V32873,'[7]TABLO-1'!H4:H32873,"=Dağıtım-OG",'[7]TABLO-1'!J4:J32873,"=Güvenlik",'[7]TABLO-1'!K4:K32873,"=Bildirimsiz",'[7]TABLO-1'!I4:I32873,"=Uzun",'[7]TABLO-1'!D4:D32873,"=HAYRABOLU")/P12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SUMIFS('[7]TABLO-1'!W4:W32873,'[7]TABLO-1'!H4:H32873,"=Dağıtım-OG",'[7]TABLO-1'!J4:J32873,"=Güvenlik",'[7]TABLO-1'!K4:K32873,"=Bildirimsiz",'[7]TABLO-1'!I4:I32873,"=Uzun",'[7]TABLO-1'!D4:D32873,"=HAYRABOLU")/P7</f>
        <v>0</v>
      </c>
      <c r="H11" s="10">
        <f>SUMIFS('[7]TABLO-1'!X4:X32873,'[7]TABLO-1'!H4:H32873,"=Dağıtım-OG",'[7]TABLO-1'!J4:J32873,"=Güvenlik",'[7]TABLO-1'!K4:K32873,"=Bildirimsiz",'[7]TABLO-1'!I4:I32873,"=Uzun",'[7]TABLO-1'!D4:D32873,"=HAYRABOLU")/P13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SUMIFS('[7]TABLO-1'!Y4:Y32873,'[7]TABLO-1'!H4:H32873,"=Dağıtım-OG",'[7]TABLO-1'!J4:J32873,"=Güvenlik",'[7]TABLO-1'!K4:K32873,"=Bildirimsiz",'[7]TABLO-1'!I4:I32873,"=Uzun",'[7]TABLO-1'!D4:D32873,"=HAYRABOLU")/P8</f>
        <v>0</v>
      </c>
      <c r="K11" s="10">
        <f>SUMIFS('[7]TABLO-1'!Z4:Z32873,'[7]TABLO-1'!H4:H32873,"=Dağıtım-OG",'[7]TABLO-1'!J4:J32873,"=Güvenlik",'[7]TABLO-1'!K4:K32873,"=Bildirimsiz",'[7]TABLO-1'!I4:I32873,"=Uzun",'[7]TABLO-1'!D4:D32873,"=HAYRABOLU")/P14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İşletmecisi",'[7]TABLO-1'!K4:K32873,"=Bildirimsiz",'[7]TABLO-1'!I4:I32873,"=Uzun",'[7]TABLO-1'!D4:D32873,"=HAYRABOLU")/P6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işletmecisi",'[7]TABLO-1'!K4:K32873,"=Bildirimsiz",'[7]TABLO-1'!I4:I32873,"=Uzun",'[7]TABLO-1'!D4:D32873,"=HAYRABOLU")/P12</f>
        <v>0</v>
      </c>
      <c r="F12" s="10">
        <f t="shared" si="0"/>
        <v>0</v>
      </c>
      <c r="G12" s="12">
        <f>SUMIFS('[7]TABLO-1'!W4:W32873,'[7]TABLO-1'!H4:H32873,"=Dağıtım-AG",'[7]TABLO-1'!J4:J32873,"=Şebeke İşletmecisi",'[7]TABLO-1'!K4:K32873,"=Bildirimsiz",'[7]TABLO-1'!I4:I32873,"=Uzun",'[7]TABLO-1'!D4:D32873,"=HAYRABOLU")/P7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İşletmecisi",'[7]TABLO-1'!K4:K32873,"=Bildirimsiz",'[7]TABLO-1'!I4:I32873,"=Uzun",'[7]TABLO-1'!D4:D32873,"=HAYRABOLU")/P13</f>
        <v>0.64595642073901149</v>
      </c>
      <c r="I12" s="10">
        <f t="shared" si="1"/>
        <v>0.63541589051459868</v>
      </c>
      <c r="J12" s="12">
        <f>SUMIFS('[7]TABLO-1'!Y4:Y32873,'[7]TABLO-1'!H4:H32873,"=Dağıtım-AG",'[7]TABLO-1'!J4:J32873,"=Şebeke İşletmecisi",'[7]TABLO-1'!K4:K32873,"=Bildirimsiz",'[7]TABLO-1'!I4:I32873,"=Uzun",'[7]TABLO-1'!D4:D32873,"=HAYRABOLU")/P8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İşletmecisi",'[7]TABLO-1'!K4:K32873,"=Bildirimsiz",'[7]TABLO-1'!I4:I32873,"=Uzun",'[7]TABLO-1'!D4:D32873,"=HAYRABOLU")/P14</f>
        <v>6.0812911725341863</v>
      </c>
      <c r="L12" s="10">
        <f t="shared" si="2"/>
        <v>5.9537594140788448</v>
      </c>
      <c r="M12" s="11">
        <f t="shared" si="3"/>
        <v>2.5397968709753829</v>
      </c>
      <c r="O12" s="6" t="s">
        <v>33</v>
      </c>
      <c r="P12" s="42">
        <v>703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SUMIFS('[7]TABLO-1'!U4:U32873,'[7]TABLO-1'!H4:H32873,"=Dağıtım-AG",'[7]TABLO-1'!J4:J32873,"=Dışsal",'[7]TABLO-1'!K4:K32873,"=Bildirimsiz",'[7]TABLO-1'!I4:I32873,"=Uzun",'[7]TABLO-1'!D4:D32873,"=HAYRABOLU")/P6</f>
        <v>0</v>
      </c>
      <c r="E13" s="10">
        <f>SUMIFS('[7]TABLO-1'!V4:V32873,'[7]TABLO-1'!H4:H32873,"=Dağıtım-AG",'[7]TABLO-1'!J4:J32873,"=Dışsal",'[7]TABLO-1'!K4:K32873,"=Bildirimsiz",'[7]TABLO-1'!I4:I32873,"=Uzun",'[7]TABLO-1'!D4:D32873,"=HAYRABOLU")/P12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SUMIFS('[7]TABLO-1'!W4:W32873,'[7]TABLO-1'!H4:H32873,"=Dağıtım-AG",'[7]TABLO-1'!J4:J32873,"=Dışsal",'[7]TABLO-1'!K4:K32873,"=Bildirimsiz",'[7]TABLO-1'!I4:I32873,"=Uzun",'[7]TABLO-1'!D4:D32873,"=HAYRABOLU")/P7</f>
        <v>0</v>
      </c>
      <c r="H13" s="10">
        <f>SUMIFS('[7]TABLO-1'!X4:X32873,'[7]TABLO-1'!H4:H32873,"=Dağıtım-AG",'[7]TABLO-1'!J4:J32873,"=Dışsal",'[7]TABLO-1'!K4:K32873,"=Bildirimsiz",'[7]TABLO-1'!I4:I32873,"=Uzun",'[7]TABLO-1'!D4:D32873,"=HAYRABOLU")/P13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SUMIFS('[7]TABLO-1'!Y4:Y32873,'[7]TABLO-1'!H4:H32873,"=Dağıtım-AG",'[7]TABLO-1'!J4:J32873,"=Dışsal",'[7]TABLO-1'!K4:K32873,"=Bildirimsiz",'[7]TABLO-1'!I4:I32873,"=Uzun",'[7]TABLO-1'!D4:D32873,"=HAYRABOLU")/P8</f>
        <v>0</v>
      </c>
      <c r="K13" s="10">
        <f>SUMIFS('[7]TABLO-1'!Z4:Z32873,'[7]TABLO-1'!H4:H32873,"=Dağıtım-AG",'[7]TABLO-1'!J4:J32873,"=Dışsal",'[7]TABLO-1'!K4:K32873,"=Bildirimsiz",'[7]TABLO-1'!I4:I32873,"=Uzun",'[7]TABLO-1'!D4:D32873,"=HAYRABOLU")/P14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13202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Sebep",'[7]TABLO-1'!K4:K32873,"=Bildirimsiz",'[7]TABLO-1'!I4:I32873,"=Uzun",'[7]TABLO-1'!D4:D32873,"=HAYRABOLU")/P6</f>
        <v>0</v>
      </c>
      <c r="E14" s="10">
        <f>SUMIFS('[7]TABLO-1'!V4:V32873,'[7]TABLO-1'!H4:H32873,"=Dağıtım-AG",'[7]TABLO-1'!J4:J32873,"=Mücbir Sebep",'[7]TABLO-1'!K4:K32873,"=Bildirimsiz",'[7]TABLO-1'!I4:I32873,"=Uzun",'[7]TABLO-1'!D4:D32873,"=HAYRABOLU")/P12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Sebep",'[7]TABLO-1'!K4:K32873,"=Bildirimsiz",'[7]TABLO-1'!I4:I32873,"=Uzun",'[7]TABLO-1'!D4:D32873,"=HAYRABOLU")/P7</f>
        <v>0</v>
      </c>
      <c r="H14" s="10">
        <f>SUMIFS('[7]TABLO-1'!X4:X32873,'[7]TABLO-1'!H4:H32873,"=Dağıtım-AG",'[7]TABLO-1'!J4:J32873,"=Mücbir Sebep",'[7]TABLO-1'!K4:K32873,"=Bildirimsiz",'[7]TABLO-1'!I4:I32873,"=Uzun",'[7]TABLO-1'!D4:D32873,"=HAYRABOLU")/P13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Sebep",'[7]TABLO-1'!K4:K32873,"=Bildirimsiz",'[7]TABLO-1'!I4:I32873,"=Uzun",'[7]TABLO-1'!D4:D32873,"=HAYRABOLU")/P8</f>
        <v>0</v>
      </c>
      <c r="K14" s="10">
        <f>SUMIFS('[7]TABLO-1'!Z4:Z32873,'[7]TABLO-1'!H4:H32873,"=Dağıtım-AG",'[7]TABLO-1'!J4:J32873,"=Mücbir Sebep",'[7]TABLO-1'!K4:K32873,"=Bildirimsiz",'[7]TABLO-1'!I4:I32873,"=Uzun",'[7]TABLO-1'!D4:D32873,"=HAYRABOLU")/P14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7843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SUMIFS('[7]TABLO-1'!U4:U32873,'[7]TABLO-1'!H4:H32873,"=Dağıtım-AG",'[7]TABLO-1'!J4:J32873,"=Güvenlik",'[7]TABLO-1'!K4:K32873,"=Bildirimsiz",'[7]TABLO-1'!I4:I32873,"=Uzun",'[7]TABLO-1'!D4:D32873,"=HAYRABOLU")/P6</f>
        <v>0</v>
      </c>
      <c r="E15" s="10">
        <f>SUMIFS('[7]TABLO-1'!V4:V32873,'[7]TABLO-1'!H4:H32873,"=Dağıtım-AG",'[7]TABLO-1'!J4:J32873,"=Güvenlik",'[7]TABLO-1'!K4:K32873,"=Bildirimsiz",'[7]TABLO-1'!I4:I32873,"=Uzun",'[7]TABLO-1'!D4:D32873,"=HAYRABOLU")/P12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SUMIFS('[7]TABLO-1'!W4:W32873,'[7]TABLO-1'!H4:H32873,"=Dağıtım-AG",'[7]TABLO-1'!J4:J32873,"=Güvenlik",'[7]TABLO-1'!K4:K32873,"=Bildirimsiz",'[7]TABLO-1'!I4:I32873,"=Uzun",'[7]TABLO-1'!D4:D32873,"=HAYRABOLU")/P7</f>
        <v>0</v>
      </c>
      <c r="H15" s="10">
        <f>SUMIFS('[7]TABLO-1'!X4:X32873,'[7]TABLO-1'!H4:H32873,"=Dağıtım-AG",'[7]TABLO-1'!J4:J32873,"=Güvenlik",'[7]TABLO-1'!K4:K32873,"=Bildirimsiz",'[7]TABLO-1'!I4:I32873,"=Uzun",'[7]TABLO-1'!D4:D32873,"=HAYRABOLU")/P13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SUMIFS('[7]TABLO-1'!Y4:Y32873,'[7]TABLO-1'!H4:H32873,"=Dağıtım-AG",'[7]TABLO-1'!J4:J32873,"=Güvenlik",'[7]TABLO-1'!K4:K32873,"=Bildirimsiz",'[7]TABLO-1'!I4:I32873,"=Uzun",'[7]TABLO-1'!D4:D32873,"=HAYRABOLU")/P8</f>
        <v>0</v>
      </c>
      <c r="K15" s="10">
        <f>SUMIFS('[7]TABLO-1'!Z4:Z32873,'[7]TABLO-1'!H4:H32873,"=Dağıtım-AG",'[7]TABLO-1'!J4:J32873,"=Güvenlik",'[7]TABLO-1'!K4:K32873,"=Bildirimsiz",'[7]TABLO-1'!I4:I32873,"=Uzun",'[7]TABLO-1'!D4:D32873,"=HAYRABOLU")/P14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21748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0</v>
      </c>
      <c r="E16" s="10">
        <f t="shared" si="4"/>
        <v>0.38551446182552623</v>
      </c>
      <c r="F16" s="10">
        <f t="shared" si="4"/>
        <v>0.38442080377779425</v>
      </c>
      <c r="G16" s="10">
        <f t="shared" si="4"/>
        <v>13.734779300133072</v>
      </c>
      <c r="H16" s="10">
        <f t="shared" si="4"/>
        <v>4.7096652023849011</v>
      </c>
      <c r="I16" s="10">
        <f t="shared" si="4"/>
        <v>4.8569344064238589</v>
      </c>
      <c r="J16" s="10">
        <f>SUM(J6:J15)</f>
        <v>33.741567460279576</v>
      </c>
      <c r="K16" s="10">
        <f>SUM(K6:K15)</f>
        <v>69.927797612537205</v>
      </c>
      <c r="L16" s="10">
        <f>SUM(L6:L15)</f>
        <v>69.168930222001777</v>
      </c>
      <c r="M16" s="11">
        <f t="shared" si="4"/>
        <v>27.987904112740399</v>
      </c>
    </row>
    <row r="17" spans="2:16" ht="15" customHeight="1" x14ac:dyDescent="0.25">
      <c r="B17" s="29"/>
      <c r="O17" s="50" t="s">
        <v>37</v>
      </c>
      <c r="P17" s="47">
        <f>P6+P12</f>
        <v>705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13421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İşletmecisi",'[7]TABLO-1'!K4:K32873,"=Bildirimli",'[7]TABLO-1'!I4:I32873,"=Uzun",'[7]TABLO-1'!D4:D32873,"=HAYRABOLU")/P6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İşletmecisi",'[7]TABLO-1'!K4:K32873,"=Bildirimli",'[7]TABLO-1'!I4:I32873,"=Uzun",'[7]TABLO-1'!D4:D32873,"=HAYRABOLU")/P12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İşletmecisi",'[7]TABLO-1'!K4:K32873,"=Bildirimli",'[7]TABLO-1'!I4:I32873,"=Uzun",'[7]TABLO-1'!D4:D32873,"=HAYRABOLU")/P7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İşletmecisi",'[7]TABLO-1'!K4:K32873,"=Bildirimli",'[7]TABLO-1'!I4:I32873,"=Uzun",'[7]TABLO-1'!D4:D32873,"=HAYRABOLU")/P13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İşletmecisi",'[7]TABLO-1'!K4:K32873,"=Bildirimli",'[7]TABLO-1'!I4:I32873,"=Uzun",'[7]TABLO-1'!D4:D32873,"=HAYRABOLU")/P8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İşletmecisi",'[7]TABLO-1'!K4:K32873,"=Bildirimli",'[7]TABLO-1'!I4:I32873,"=Uzun",'[7]TABLO-1'!D4:D32873,"=HAYRABOLU")/P14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İşletmecisi",'[7]TABLO-1'!K4:K32873,"=Bildirimli",'[7]TABLO-1'!I4:I32873,"=Uzun",'[7]TABLO-1'!D4:D32873,"=HAYRABOLU")/P6</f>
        <v>0</v>
      </c>
      <c r="E22" s="10">
        <f>SUMIFS('[7]TABLO-1'!V4:V32873,'[7]TABLO-1'!H4:H32873,"=Dağıtım-OG",'[7]TABLO-1'!J4:J32873,"=Şebeke İşletmecisi",'[7]TABLO-1'!K4:K32873,"=Bildirimli",'[7]TABLO-1'!I4:I32873,"=Uzun",'[7]TABLO-1'!D4:D32873,"=HAYRABOLU")/P12</f>
        <v>0.45457562825816072</v>
      </c>
      <c r="F22" s="10">
        <f t="shared" ref="F22:F25" si="5">IFERROR((((D22*$P$6)+(E22*$P$12))/$P$17),"0,00")</f>
        <v>0.45328605200778299</v>
      </c>
      <c r="G22" s="10">
        <f>SUMIFS('[7]TABLO-1'!W4:W32873,'[7]TABLO-1'!H4:H32873,"=Dağıtım-OG",'[7]TABLO-1'!J4:J32873,"=Şebeke İşletmecisi",'[7]TABLO-1'!K4:K32873,"=Bildirimli",'[7]TABLO-1'!I4:I32873,"=Uzun",'[7]TABLO-1'!D4:D32873,"=HAYRABOLU")/P7</f>
        <v>9.2307458147693637</v>
      </c>
      <c r="H22" s="10">
        <f>SUMIFS('[7]TABLO-1'!X4:X32873,'[7]TABLO-1'!H4:H32873,"=Dağıtım-OG",'[7]TABLO-1'!J4:J32873,"=Şebeke İşletmecisi",'[7]TABLO-1'!K4:K32873,"=Bildirimli",'[7]TABLO-1'!I4:I32873,"=Uzun",'[7]TABLO-1'!D4:D32873,"=HAYRABOLU")/P13</f>
        <v>12.298434581710133</v>
      </c>
      <c r="I22" s="10">
        <f t="shared" ref="I22:I25" si="6">IFERROR((((G22*$P$7)+(H22*$P$13))/$P$20),"0,00")</f>
        <v>12.248376922820333</v>
      </c>
      <c r="J22" s="10">
        <f>SUMIFS('[7]TABLO-1'!Y4:Y32873,'[7]TABLO-1'!H4:H32873,"=Dağıtım-OG",'[7]TABLO-1'!J4:J32873,"=Şebeke İşletmecisi",'[7]TABLO-1'!K4:K32873,"=Bildirimli",'[7]TABLO-1'!I4:I32873,"=Uzun",'[7]TABLO-1'!D4:D32873,"=HAYRABOLU")/P8</f>
        <v>24.450099206005689</v>
      </c>
      <c r="K22" s="10">
        <f>SUMIFS('[7]TABLO-1'!Z4:Z32873,'[7]TABLO-1'!H4:H32873,"=Dağıtım-OG",'[7]TABLO-1'!J4:J32873,"=Şebeke İşletmecisi",'[7]TABLO-1'!K4:K32873,"=Bildirimli",'[7]TABLO-1'!I4:I32873,"=Uzun",'[7]TABLO-1'!D4:D32873,"=HAYRABOLU")/P14</f>
        <v>60.183588337246945</v>
      </c>
      <c r="L22" s="10">
        <f t="shared" ref="L22:L25" si="7">IFERROR((((J22*$P$8)+(K22*$P$14))/$P$23),"0,00")</f>
        <v>59.434215453206434</v>
      </c>
      <c r="M22" s="11">
        <f t="shared" ref="M22:M25" si="8">IFERROR((((F22*$P$17)+(I22*$P$20)+(L22*$P$23))/$P$26),"0,00")</f>
        <v>28.948481426727827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SUMIFS('[7]TABLO-1'!U4:U32873,'[7]TABLO-1'!H4:H32873,"=Dağıtım-OG",'[7]TABLO-1'!J4:J32873,"=Güvenlik",'[7]TABLO-1'!K4:K32873,"=Bildirimli",'[7]TABLO-1'!I4:I32873,"=Uzun",'[7]TABLO-1'!D4:D32873,"=HAYRABOLU")/P6</f>
        <v>0</v>
      </c>
      <c r="E23" s="10">
        <f>SUMIFS('[7]TABLO-1'!V4:V32873,'[7]TABLO-1'!H4:H32873,"=Dağıtım-OG",'[7]TABLO-1'!J4:J32873,"=Güvenlik",'[7]TABLO-1'!K4:K32873,"=Bildirimli",'[7]TABLO-1'!I4:I32873,"=Uzun",'[7]TABLO-1'!D4:D32873,"=HAYRABOLU")/P12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SUMIFS('[7]TABLO-1'!W4:W32873,'[7]TABLO-1'!H4:H32873,"=Dağıtım-OG",'[7]TABLO-1'!J4:J32873,"=Güvenlik",'[7]TABLO-1'!K4:K32873,"=Bildirimli",'[7]TABLO-1'!I4:I32873,"=Uzun",'[7]TABLO-1'!D4:D32873,"=HAYRABOLU")/P7</f>
        <v>0</v>
      </c>
      <c r="H23" s="10">
        <f>SUMIFS('[7]TABLO-1'!X4:X32873,'[7]TABLO-1'!H4:H32873,"=Dağıtım-OG",'[7]TABLO-1'!J4:J32873,"=Güvenlik",'[7]TABLO-1'!K4:K32873,"=Bildirimli",'[7]TABLO-1'!I4:I32873,"=Uzun",'[7]TABLO-1'!D4:D32873,"=HAYRABOLU")/P13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SUMIFS('[7]TABLO-1'!Y4:Y32873,'[7]TABLO-1'!H4:H32873,"=Dağıtım-OG",'[7]TABLO-1'!J4:J32873,"=Güvenlik",'[7]TABLO-1'!K4:K32873,"=Bildirimli",'[7]TABLO-1'!I4:I32873,"=Uzun",'[7]TABLO-1'!D4:D32873,"=HAYRABOLU")/P8</f>
        <v>0</v>
      </c>
      <c r="K23" s="10">
        <f>SUMIFS('[7]TABLO-1'!Z4:Z32873,'[7]TABLO-1'!H4:H32873,"=Dağıtım-OG",'[7]TABLO-1'!J4:J32873,"=Güvenlik",'[7]TABLO-1'!K4:K32873,"=Bildirimli",'[7]TABLO-1'!I4:I32873,"=Uzun",'[7]TABLO-1'!D4:D32873,"=HAYRABOLU")/P14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8011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İşletmecisi",'[7]TABLO-1'!K4:K32873,"=Bildirimli",'[7]TABLO-1'!I4:I32873,"=Uzun",'[7]TABLO-1'!D4:D32873,"=HAYRABOLU")/P6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İşletmecisi",'[7]TABLO-1'!K4:K32873,"=Bildirimli",'[7]TABLO-1'!I4:I32873,"=Uzun",'[7]TABLO-1'!D4:D32873,"=HAYRABOLU")/P12</f>
        <v>27.421763869168721</v>
      </c>
      <c r="F24" s="10">
        <f t="shared" si="5"/>
        <v>27.343971631242002</v>
      </c>
      <c r="G24" s="12">
        <f>SUMIFS('[7]TABLO-1'!W4:W32873,'[7]TABLO-1'!H4:H32873,"=Dağıtım-AG",'[7]TABLO-1'!J4:J32873,"=Şebeke İşletmecisi",'[7]TABLO-1'!K4:K32873,"=Bildirimli",'[7]TABLO-1'!I4:I32873,"=Uzun",'[7]TABLO-1'!D4:D32873,"=HAYRABOLU")/P7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İşletmecisi",'[7]TABLO-1'!K4:K32873,"=Bildirimli",'[7]TABLO-1'!I4:I32873,"=Uzun",'[7]TABLO-1'!D4:D32873,"=HAYRABOLU")/P13</f>
        <v>1.5255428470462438</v>
      </c>
      <c r="I24" s="10">
        <f t="shared" si="6"/>
        <v>1.5006494796739818</v>
      </c>
      <c r="J24" s="12">
        <f>SUMIFS('[7]TABLO-1'!Y4:Y32873,'[7]TABLO-1'!H4:H32873,"=Dağıtım-AG",'[7]TABLO-1'!J4:J32873,"=Şebeke İşletmecisi",'[7]TABLO-1'!K4:K32873,"=Bildirimli",'[7]TABLO-1'!I4:I32873,"=Uzun",'[7]TABLO-1'!D4:D32873,"=HAYRABOLU")/P8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İşletmecisi",'[7]TABLO-1'!K4:K32873,"=Bildirimli",'[7]TABLO-1'!I4:I32873,"=Uzun",'[7]TABLO-1'!D4:D32873,"=HAYRABOLU")/P14</f>
        <v>4.9182838200483801</v>
      </c>
      <c r="L24" s="10">
        <f t="shared" si="7"/>
        <v>4.8151416802695604</v>
      </c>
      <c r="M24" s="11">
        <f t="shared" si="8"/>
        <v>3.5231430034498605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SUMIFS('[7]TABLO-1'!U4:U32873,'[7]TABLO-1'!H4:H32873,"=Dağıtım-AG",'[7]TABLO-1'!J4:J32873,"=Güvenlik",'[7]TABLO-1'!K4:K32873,"=Bildirimli",'[7]TABLO-1'!I4:I32873,"=Uzun",'[7]TABLO-1'!D4:D32873,"=HAYRABOLU")/P6</f>
        <v>0</v>
      </c>
      <c r="E25" s="10">
        <f>SUMIFS('[7]TABLO-1'!V4:V32873,'[7]TABLO-1'!H4:H32873,"=Dağıtım-AG",'[7]TABLO-1'!J4:J32873,"=Güvenlik",'[7]TABLO-1'!K4:K32873,"=Bildirimli",'[7]TABLO-1'!I4:I32873,"=Uzun",'[7]TABLO-1'!D4:D32873,"=HAYRABOLU")/P12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SUMIFS('[7]TABLO-1'!W4:W32873,'[7]TABLO-1'!H4:H32873,"=Dağıtım-AG",'[7]TABLO-1'!J4:J32873,"=Güvenlik",'[7]TABLO-1'!K4:K32873,"=Bildirimli",'[7]TABLO-1'!I4:I32873,"=Uzun",'[7]TABLO-1'!D4:D32873,"=HAYRABOLU")/P7</f>
        <v>0</v>
      </c>
      <c r="H25" s="10">
        <f>SUMIFS('[7]TABLO-1'!X4:X32873,'[7]TABLO-1'!H4:H32873,"=Dağıtım-AG",'[7]TABLO-1'!J4:J32873,"=Güvenlik",'[7]TABLO-1'!K4:K32873,"=Bildirimli",'[7]TABLO-1'!I4:I32873,"=Uzun",'[7]TABLO-1'!D4:D32873,"=HAYRABOLU")/P13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SUMIFS('[7]TABLO-1'!Y4:Y32873,'[7]TABLO-1'!H4:H32873,"=Dağıtım-AG",'[7]TABLO-1'!J4:J32873,"=Güvenlik",'[7]TABLO-1'!K4:K32873,"=Bildirimli",'[7]TABLO-1'!I4:I32873,"=Uzun",'[7]TABLO-1'!D4:D32873,"=HAYRABOLU")/P8</f>
        <v>0</v>
      </c>
      <c r="K25" s="10">
        <f>SUMIFS('[7]TABLO-1'!Z4:Z32873,'[7]TABLO-1'!H4:H32873,"=Dağıtım-AG",'[7]TABLO-1'!J4:J32873,"=Güvenlik",'[7]TABLO-1'!K4:K32873,"=Bildirimli",'[7]TABLO-1'!I4:I32873,"=Uzun",'[7]TABLO-1'!D4:D32873,"=HAYRABOLU")/P14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0</v>
      </c>
      <c r="E26" s="10">
        <f t="shared" ref="E26:M26" si="9">SUM(E21:E25)</f>
        <v>27.876339497426883</v>
      </c>
      <c r="F26" s="10">
        <f t="shared" si="9"/>
        <v>27.797257683249786</v>
      </c>
      <c r="G26" s="10">
        <f t="shared" si="9"/>
        <v>9.2307458147693637</v>
      </c>
      <c r="H26" s="10">
        <f t="shared" si="9"/>
        <v>13.823977428756377</v>
      </c>
      <c r="I26" s="10">
        <f t="shared" si="9"/>
        <v>13.749026402494314</v>
      </c>
      <c r="J26" s="10">
        <f t="shared" si="9"/>
        <v>24.450099206005689</v>
      </c>
      <c r="K26" s="10">
        <f t="shared" si="9"/>
        <v>65.101872157295332</v>
      </c>
      <c r="L26" s="10">
        <f t="shared" si="9"/>
        <v>64.249357133475996</v>
      </c>
      <c r="M26" s="11">
        <f t="shared" si="9"/>
        <v>32.471624430177691</v>
      </c>
      <c r="O26" s="43" t="s">
        <v>22</v>
      </c>
      <c r="P26" s="44">
        <f>P20+P17+P23</f>
        <v>22137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İşletmecisi",'[7]TABLO-1'!K4:K32873,"=Bildirimsiz",'[7]TABLO-1'!I4:I32873,"=Uzun",'[7]TABLO-1'!D4:D32873,"=HAYRABOLU")/P6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İşletmecisi",'[7]TABLO-1'!K4:K32873,"=Bildirimsiz",'[7]TABLO-1'!I4:I32873,"=Uzun",'[7]TABLO-1'!D4:D32873,"=HAYRABOLU")/P12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İşletmecisi",'[7]TABLO-1'!K4:K32873,"=Bildirimsiz",'[7]TABLO-1'!I4:I32873,"=Uzun",'[7]TABLO-1'!D4:D32873,"=HAYRABOLU")/P7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İşletmecisi",'[7]TABLO-1'!K4:K32873,"=Bildirimsiz",'[7]TABLO-1'!I4:I32873,"=Uzun",'[7]TABLO-1'!D4:D32873,"=HAYRABOLU")/P13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İşletmecisi",'[7]TABLO-1'!K4:K32873,"=Bildirimsiz",'[7]TABLO-1'!I4:I32873,"=Uzun",'[7]TABLO-1'!D4:D32873,"=HAYRABOLU")/P8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İşletmecisi",'[7]TABLO-1'!K4:K32873,"=bildirimsiz",'[7]TABLO-1'!I4:I32873,"=Uzun",'[7]TABLO-1'!D4:D32873,"=HAYRABOLU")/P14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Sebep",'[7]TABLO-1'!K4:K32873,"=Bildirimsiz",'[7]TABLO-1'!I4:I32873,"=Uzun",'[7]TABLO-1'!D4:D32873,"=HAYRABOLU")/P6</f>
        <v>0</v>
      </c>
      <c r="E32" s="10">
        <f>SUMIFS('[7]TABLO-1'!P4:P32873,'[7]TABLO-1'!H4:H32873,"=İletim",'[7]TABLO-1'!J4:J32873,"=Mücbir Sebep",'[7]TABLO-1'!K4:K32873,"=Bildirimsiz",'[7]TABLO-1'!I4:I32873,"=Uzun",'[7]TABLO-1'!D4:D32873,"=HAYRABOLU")/P12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Sebep",'[7]TABLO-1'!K4:K32873,"=Bildirimsiz",'[7]TABLO-1'!I4:I32873,"=Uzun",'[7]TABLO-1'!D4:D32873,"=HAYRABOLU")/P7</f>
        <v>0</v>
      </c>
      <c r="H32" s="10">
        <f>SUMIFS('[7]TABLO-1'!R4:R32873,'[7]TABLO-1'!H4:H32873,"=İletim",'[7]TABLO-1'!J4:J32873,"=Mücbir Sebep",'[7]TABLO-1'!K4:K32873,"=Bildirimsiz",'[7]TABLO-1'!I4:I32873,"=Uzun",'[7]TABLO-1'!D4:D32873,"=HAYRABOLU")/P13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Sebep",'[7]TABLO-1'!K4:K32873,"=Bildirimsiz",'[7]TABLO-1'!I4:I32873,"=Uzun",'[7]TABLO-1'!D4:D32873,"=HAYRABOLU")/P8</f>
        <v>0</v>
      </c>
      <c r="K32" s="10">
        <f>SUMIFS('[7]TABLO-1'!T4:T32873,'[7]TABLO-1'!H4:H32873,"=İletim",'[7]TABLO-1'!J4:J32873,"=Mücbir Sebep",'[7]TABLO-1'!K4:K32873,"=bildirimsiz",'[7]TABLO-1'!I4:I32873,"=Uzun",'[7]TABLO-1'!D4:D32873,"=HAYRABOLU")/P14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İşletmecisi",'[7]TABLO-1'!K4:K32873,"=Bildirimsiz",'[7]TABLO-1'!I4:I32873,"=Uzun",'[7]TABLO-1'!D4:D32873,"=HAYRABOLU")/P6</f>
        <v>0</v>
      </c>
      <c r="E33" s="10">
        <f>SUMIFS('[7]TABLO-1'!P4:P32873,'[7]TABLO-1'!H4:H32873,"=Dağıtım-OG",'[7]TABLO-1'!J4:J32873,"=Şebeke İşletmecisi",'[7]TABLO-1'!K4:K32873,"=Bildirimsiz",'[7]TABLO-1'!I4:I32873,"=Uzun",'[7]TABLO-1'!D4:D32873,"=HAYRABOLU")/P12</f>
        <v>1.7069701280227598E-2</v>
      </c>
      <c r="F33" s="10">
        <f t="shared" si="10"/>
        <v>1.7021276595744685E-2</v>
      </c>
      <c r="G33" s="10">
        <f>SUMIFS('[7]TABLO-1'!Q4:Q32873,'[7]TABLO-1'!H4:H32873,"=Dağıtım-OG",'[7]TABLO-1'!J4:J32873,"=Şebeke İşletmecisi",'[7]TABLO-1'!K4:K32873,"=Bildirimsiz",'[7]TABLO-1'!I4:I32873,"=Uzun",'[7]TABLO-1'!D4:D32873,"=HAYRABOLU")/P7</f>
        <v>0.33789954337899542</v>
      </c>
      <c r="H33" s="10">
        <f>SUMIFS('[7]TABLO-1'!R4:R32873,'[7]TABLO-1'!H4:H32873,"=Dağıtım-OG",'[7]TABLO-1'!J4:J32873,"=Şebeke İşletmecisi",'[7]TABLO-1'!K4:K32873,"=Bildirimsiz",'[7]TABLO-1'!I4:I32873,"=Uzun",'[7]TABLO-1'!D4:D32873,"=HAYRABOLU")/P13</f>
        <v>0.38933494925011364</v>
      </c>
      <c r="I33" s="10">
        <f t="shared" si="11"/>
        <v>0.38849564115937707</v>
      </c>
      <c r="J33" s="10">
        <f>SUMIFS('[7]TABLO-1'!S4:S32873,'[7]TABLO-1'!H4:H32873,"=Dağıtım-OG",'[7]TABLO-1'!J4:J32873,"=Şebeke İşletmecisi",'[7]TABLO-1'!K4:K32873,"=Bildirimsiz",'[7]TABLO-1'!I4:I32873,"=Uzun",'[7]TABLO-1'!D4:D32873,"=HAYRABOLU")/P8</f>
        <v>0.45833333333333331</v>
      </c>
      <c r="K33" s="10">
        <f>SUMIFS('[7]TABLO-1'!T4:T32873,'[7]TABLO-1'!H4:H32873,"=Dağıtım-OG",'[7]TABLO-1'!J4:J32873,"=Şebeke İşletmecisi",'[7]TABLO-1'!K4:K32873,"=bildirimsiz",'[7]TABLO-1'!I4:I32873,"=Uzun",'[7]TABLO-1'!D4:D32873,"=HAYRABOLU")/P14</f>
        <v>1.0929491266097158</v>
      </c>
      <c r="L33" s="10">
        <f t="shared" si="12"/>
        <v>1.0796404943203095</v>
      </c>
      <c r="M33" s="11">
        <f t="shared" si="13"/>
        <v>0.62677869630031169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SUMIFS('[7]TABLO-1'!O4:O32873,'[7]TABLO-1'!H4:H32873,"=Dağıtım-OG",'[7]TABLO-1'!J4:J32873,"=Dışsal",'[7]TABLO-1'!K4:K32873,"=Bildirimsiz",'[7]TABLO-1'!I4:I32873,"=Uzun",'[7]TABLO-1'!D4:D32873,"=HAYRABOLU")/P6</f>
        <v>0</v>
      </c>
      <c r="E34" s="10">
        <f>SUMIFS('[7]TABLO-1'!P4:P32873,'[7]TABLO-1'!H4:H32873,"=Dağıtım-OG",'[7]TABLO-1'!J4:J32873,"=Dışsal",'[7]TABLO-1'!K4:K32873,"=Bildirimsiz",'[7]TABLO-1'!I4:I32873,"=Uzun",'[7]TABLO-1'!D4:D32873,"=HAYRABOLU")/P12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SUMIFS('[7]TABLO-1'!Q4:Q32873,'[7]TABLO-1'!H4:H32873,"=Dağıtım-OG",'[7]TABLO-1'!J4:J32873,"=Dışsal",'[7]TABLO-1'!K4:K32873,"=Bildirimsiz",'[7]TABLO-1'!I4:I32873,"=Uzun",'[7]TABLO-1'!D4:D32873,"=HAYRABOLU")/P7</f>
        <v>0</v>
      </c>
      <c r="H34" s="10">
        <f>SUMIFS('[7]TABLO-1'!R4:R32873,'[7]TABLO-1'!H4:H32873,"=Dağıtım-OG",'[7]TABLO-1'!J4:J32873,"=Dışsal",'[7]TABLO-1'!K4:K32873,"=Bildirimsiz",'[7]TABLO-1'!I4:I32873,"=Uzun",'[7]TABLO-1'!D4:D32873,"=HAYRABOLU")/P13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SUMIFS('[7]TABLO-1'!S4:S32873,'[7]TABLO-1'!H4:H32873,"=Dağıtım-OG",'[7]TABLO-1'!J4:J32873,"=Dışsal",'[7]TABLO-1'!K4:K32873,"=Bildirimsiz",'[7]TABLO-1'!I4:I32873,"=Uzun",'[7]TABLO-1'!D4:D32873,"=HAYRABOLU")/P8</f>
        <v>0</v>
      </c>
      <c r="K34" s="10">
        <f>SUMIFS('[7]TABLO-1'!T4:T32873,'[7]TABLO-1'!H4:H32873,"=Dağıtım-OG",'[7]TABLO-1'!J4:J32873,"=Dışsal",'[7]TABLO-1'!K4:K32873,"=bildirimsiz",'[7]TABLO-1'!I4:I32873,"=Uzun",'[7]TABLO-1'!D4:D32873,"=HAYRABOLU")/P14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Sebep",'[7]TABLO-1'!K4:K32873,"=Bildirimsiz",'[7]TABLO-1'!I4:I32873,"=Uzun",'[7]TABLO-1'!D4:D32873,"=HAYRABOLU")/P6</f>
        <v>0</v>
      </c>
      <c r="E35" s="10">
        <f>SUMIFS('[7]TABLO-1'!P4:P32873,'[7]TABLO-1'!H4:H32873,"=Dağıtım-OG",'[7]TABLO-1'!J4:J32873,"=Mücbir Sebep",'[7]TABLO-1'!K4:K32873,"=Bildirimsiz",'[7]TABLO-1'!I4:I32873,"=Uzun",'[7]TABLO-1'!D4:D32873,"=HAYRABOLU")/P12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Sebep",'[7]TABLO-1'!K4:K32873,"=Bildirimsiz",'[7]TABLO-1'!I4:I32873,"=Uzun",'[7]TABLO-1'!D4:D32873,"=HAYRABOLU")/P7</f>
        <v>0</v>
      </c>
      <c r="H35" s="10">
        <f>SUMIFS('[7]TABLO-1'!R4:R32873,'[7]TABLO-1'!H4:H32873,"=Dağıtım-OG",'[7]TABLO-1'!J4:J32873,"=Mücbir Sebep",'[7]TABLO-1'!K4:K32873,"=Bildirimsiz",'[7]TABLO-1'!I4:I32873,"=Uzun",'[7]TABLO-1'!D4:D32873,"=HAYRABOLU")/P13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Sebep",'[7]TABLO-1'!K4:K32873,"=Bildirimsiz",'[7]TABLO-1'!I4:I32873,"=Uzun",'[7]TABLO-1'!D4:D32873,"=HAYRABOLU")/P8</f>
        <v>0</v>
      </c>
      <c r="K35" s="10">
        <f>SUMIFS('[7]TABLO-1'!T4:T32873,'[7]TABLO-1'!H4:H32873,"=Dağıtım-OG",'[7]TABLO-1'!J4:J32873,"=Mücbir Sebep",'[7]TABLO-1'!K4:K32873,"=bildirimsiz",'[7]TABLO-1'!I4:I32873,"=Uzun",'[7]TABLO-1'!D4:D32873,"=HAYRABOLU")/P14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SUMIFS('[7]TABLO-1'!O4:O32873,'[7]TABLO-1'!H4:H32873,"=Dağıtım-OG",'[7]TABLO-1'!J4:J32873,"=Güvenlik",'[7]TABLO-1'!K4:K32873,"=Bildirimsiz",'[7]TABLO-1'!I4:I32873,"=Uzun",'[7]TABLO-1'!D4:D32873,"=HAYRABOLU")/P6</f>
        <v>0</v>
      </c>
      <c r="E36" s="10">
        <f>SUMIFS('[7]TABLO-1'!P4:P32873,'[7]TABLO-1'!H4:H32873,"=Dağıtım-OG",'[7]TABLO-1'!J4:J32873,"=Güvenlik",'[7]TABLO-1'!K4:K32873,"=Bildirimsiz",'[7]TABLO-1'!I4:I32873,"=Uzun",'[7]TABLO-1'!D4:D32873,"=HAYRABOLU")/P12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SUMIFS('[7]TABLO-1'!Q4:Q32873,'[7]TABLO-1'!H4:H32873,"=Dağıtım-OG",'[7]TABLO-1'!J4:J32873,"=Güvenlik",'[7]TABLO-1'!K4:K32873,"=Bildirimsiz",'[7]TABLO-1'!I4:I32873,"=Uzun",'[7]TABLO-1'!D4:D32873,"=HAYRABOLU")/P7</f>
        <v>0</v>
      </c>
      <c r="H36" s="10">
        <f>SUMIFS('[7]TABLO-1'!R4:R32873,'[7]TABLO-1'!H4:H32873,"=Dağıtım-OG",'[7]TABLO-1'!J4:J32873,"=Güvenlik",'[7]TABLO-1'!K4:K32873,"=Bildirimsiz",'[7]TABLO-1'!I4:I32873,"=Uzun",'[7]TABLO-1'!D4:D32873,"=HAYRABOLU")/P13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SUMIFS('[7]TABLO-1'!S4:S32873,'[7]TABLO-1'!H4:H32873,"=Dağıtım-OG",'[7]TABLO-1'!J4:J32873,"=Güvenlik",'[7]TABLO-1'!K4:K32873,"=Bildirimsiz",'[7]TABLO-1'!I4:I32873,"=Uzun",'[7]TABLO-1'!D4:D32873,"=HAYRABOLU")/P8</f>
        <v>0</v>
      </c>
      <c r="K36" s="10">
        <f>SUMIFS('[7]TABLO-1'!T4:T32873,'[7]TABLO-1'!H4:H32873,"=Dağıtım-OG",'[7]TABLO-1'!J4:J32873,"=Güvenlik",'[7]TABLO-1'!K4:K32873,"=bildirimsiz",'[7]TABLO-1'!I4:I32873,"=Uzun",'[7]TABLO-1'!D4:D32873,"=HAYRABOLU")/P14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İşletmecisi",'[7]TABLO-1'!K4:K32873,"=Bildirimsiz",'[7]TABLO-1'!I4:I32873,"=Uzun",'[7]TABLO-1'!D4:D32873,"=HAYRABOLU")/P6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İşletmecisi",'[7]TABLO-1'!K4:K32873,"=Bildirimsiz",'[7]TABLO-1'!I4:I32873,"=Uzun",'[7]TABLO-1'!D4:D32873,"=HAYRABOLU")/P12</f>
        <v>0</v>
      </c>
      <c r="F37" s="10">
        <f t="shared" si="10"/>
        <v>0</v>
      </c>
      <c r="G37" s="12">
        <f>SUMIFS('[7]TABLO-1'!Q4:Q32873,'[7]TABLO-1'!H4:H32873,"=Dağıtım-AG",'[7]TABLO-1'!J4:J32873,"=Şebeke İşletmecisi",'[7]TABLO-1'!K4:K32873,"=Bildirimsiz",'[7]TABLO-1'!I4:I32873,"=Uzun",'[7]TABLO-1'!D4:D32873,"=HAYRABOLU")/P7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İşletmecisi",'[7]TABLO-1'!K4:K32873,"=Bildirimsiz",'[7]TABLO-1'!I4:I32873,"=Uzun",'[7]TABLO-1'!D4:D32873,"=HAYRABOLU")/P13</f>
        <v>2.3632782911680049E-2</v>
      </c>
      <c r="I37" s="10">
        <f t="shared" si="11"/>
        <v>2.3247149988823487E-2</v>
      </c>
      <c r="J37" s="12">
        <f>SUMIFS('[7]TABLO-1'!S4:S32873,'[7]TABLO-1'!H4:H32873,"=Dağıtım-AG",'[7]TABLO-1'!J4:J32873,"=Şebeke İşletmecisi",'[7]TABLO-1'!K4:K32873,"=Bildirimsiz",'[7]TABLO-1'!I4:I32873,"=Uzun",'[7]TABLO-1'!D4:D32873,"=HAYRABOLU")/P8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İşletmecisi",'[7]TABLO-1'!K4:K32873,"=bildirimsiz",'[7]TABLO-1'!I4:I32873,"=Uzun",'[7]TABLO-1'!D4:D32873,"=HAYRABOLU")/P14</f>
        <v>6.7831187045773303E-2</v>
      </c>
      <c r="L37" s="10">
        <f t="shared" si="12"/>
        <v>6.6408688053925857E-2</v>
      </c>
      <c r="M37" s="11">
        <f t="shared" si="13"/>
        <v>3.8126214030808146E-2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SUMIFS('[7]TABLO-1'!O4:O32873,'[7]TABLO-1'!H4:H32873,"=Dağıtım-AG",'[7]TABLO-1'!J4:J32873,"=Dışsal",'[7]TABLO-1'!K4:K32873,"=Bildirimsiz",'[7]TABLO-1'!I4:I32873,"=Uzun",'[7]TABLO-1'!D4:D32873,"=HAYRABOLU")/P6</f>
        <v>0</v>
      </c>
      <c r="E38" s="10">
        <f>SUMIFS('[7]TABLO-1'!P4:P32873,'[7]TABLO-1'!H4:H32873,"=Dağıtım-AG",'[7]TABLO-1'!J4:J32873,"=Dışsal",'[7]TABLO-1'!K4:K32873,"=Bildirimsiz",'[7]TABLO-1'!I4:I32873,"=Uzun",'[7]TABLO-1'!D4:D32873,"=HAYRABOLU")/P12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SUMIFS('[7]TABLO-1'!Q4:Q32873,'[7]TABLO-1'!H4:H32873,"=Dağıtım-AG",'[7]TABLO-1'!J4:J32873,"=Dışsal",'[7]TABLO-1'!K4:K32873,"=Bildirimsiz",'[7]TABLO-1'!I4:I32873,"=Uzun",'[7]TABLO-1'!D4:D32873,"=HAYRABOLU")/P7</f>
        <v>0</v>
      </c>
      <c r="H38" s="10">
        <f>SUMIFS('[7]TABLO-1'!R4:R32873,'[7]TABLO-1'!H4:H32873,"=Dağıtım-AG",'[7]TABLO-1'!J4:J32873,"=Dışsal",'[7]TABLO-1'!K4:K32873,"=Bildirimsiz",'[7]TABLO-1'!I4:I32873,"=Uzun",'[7]TABLO-1'!D4:D32873,"=HAYRABOLU")/P13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SUMIFS('[7]TABLO-1'!S4:S32873,'[7]TABLO-1'!H4:H32873,"=Dağıtım-AG",'[7]TABLO-1'!J4:J32873,"=Dışsal",'[7]TABLO-1'!K4:K32873,"=Bildirimsiz",'[7]TABLO-1'!I4:I32873,"=Uzun",'[7]TABLO-1'!D4:D32873,"=HAYRABOLU")/P8</f>
        <v>0</v>
      </c>
      <c r="K38" s="10">
        <f>SUMIFS('[7]TABLO-1'!T4:T32873,'[7]TABLO-1'!H4:H32873,"=Dağıtım-AG",'[7]TABLO-1'!J4:J32873,"=Dışsal",'[7]TABLO-1'!K4:K32873,"=bildirimsiz",'[7]TABLO-1'!I4:I32873,"=Uzun",'[7]TABLO-1'!D4:D32873,"=HAYRABOLU")/P14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Sebep",'[7]TABLO-1'!K4:K32873,"=Bildirimsiz",'[7]TABLO-1'!I4:I32873,"=Uzun",'[7]TABLO-1'!D4:D32873,"=HAYRABOLU")/P6</f>
        <v>0</v>
      </c>
      <c r="E39" s="10">
        <f>SUMIFS('[7]TABLO-1'!P4:P32873,'[7]TABLO-1'!H4:H32873,"=Dağıtım-AG",'[7]TABLO-1'!J4:J32873,"=Mücbir Sebep",'[7]TABLO-1'!K4:K32873,"=Bildirimsiz",'[7]TABLO-1'!I4:I32873,"=Uzun",'[7]TABLO-1'!D4:D32873,"=HAYRABOLU")/P12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Sebep",'[7]TABLO-1'!K4:K32873,"=Bildirimsiz",'[7]TABLO-1'!I4:I32873,"=Uzun",'[7]TABLO-1'!D4:D32873,"=HAYRABOLU")/P7</f>
        <v>0</v>
      </c>
      <c r="H39" s="10">
        <f>SUMIFS('[7]TABLO-1'!R4:R32873,'[7]TABLO-1'!H4:H32873,"=Dağıtım-AG",'[7]TABLO-1'!J4:J32873,"=Mücbir Sebep",'[7]TABLO-1'!K4:K32873,"=Bildirimsiz",'[7]TABLO-1'!I4:I32873,"=Uzun",'[7]TABLO-1'!D4:D32873,"=HAYRABOLU")/P13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Sebep",'[7]TABLO-1'!K4:K32873,"=Bildirimsiz",'[7]TABLO-1'!I4:I32873,"=Uzun",'[7]TABLO-1'!D4:D32873,"=HAYRABOLU")/P8</f>
        <v>0</v>
      </c>
      <c r="K39" s="10">
        <f>SUMIFS('[7]TABLO-1'!T4:T32873,'[7]TABLO-1'!H4:H32873,"=Dağıtım-AG",'[7]TABLO-1'!J4:J32873,"=Mücbir Sebep",'[7]TABLO-1'!K4:K32873,"=bildirimsiz",'[7]TABLO-1'!I4:I32873,"=Uzun",'[7]TABLO-1'!D4:D32873,"=HAYRABOLU")/P14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SUMIFS('[7]TABLO-1'!O4:O32873,'[7]TABLO-1'!H4:H32873,"=Dağıtım-AG",'[7]TABLO-1'!J4:J32873,"=Güvenlik",'[7]TABLO-1'!K4:K32873,"=Bildirimsiz",'[7]TABLO-1'!I4:I32873,"=Uzun",'[7]TABLO-1'!D4:D32873,"=HAYRABOLU")/P6</f>
        <v>0</v>
      </c>
      <c r="E40" s="10">
        <f>SUMIFS('[7]TABLO-1'!P4:P32873,'[7]TABLO-1'!H4:H32873,"=Dağıtım-AG",'[7]TABLO-1'!J4:J32873,"=Güvenlik",'[7]TABLO-1'!K4:K32873,"=Bildirimsiz",'[7]TABLO-1'!I4:I32873,"=Uzun",'[7]TABLO-1'!D4:D32873,"=HAYRABOLU")/P12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SUMIFS('[7]TABLO-1'!Q4:Q32873,'[7]TABLO-1'!H4:H32873,"=Dağıtım-AG",'[7]TABLO-1'!J4:J32873,"=Güvenlik",'[7]TABLO-1'!K4:K32873,"=Bildirimsiz",'[7]TABLO-1'!I4:I32873,"=Uzun",'[7]TABLO-1'!D4:D32873,"=HAYRABOLU")/P7</f>
        <v>0</v>
      </c>
      <c r="H40" s="10">
        <f>SUMIFS('[7]TABLO-1'!R4:R32873,'[7]TABLO-1'!H4:H32873,"=Dağıtım-AG",'[7]TABLO-1'!J4:J32873,"=Güvenlik",'[7]TABLO-1'!K4:K32873,"=Bildirimsiz",'[7]TABLO-1'!I4:I32873,"=Uzun",'[7]TABLO-1'!D4:D32873,"=HAYRABOLU")/P13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SUMIFS('[7]TABLO-1'!S4:S32873,'[7]TABLO-1'!H4:H32873,"=Dağıtım-AG",'[7]TABLO-1'!J4:J32873,"=Güvenlik",'[7]TABLO-1'!K4:K32873,"=Bildirimsiz",'[7]TABLO-1'!I4:I32873,"=Uzun",'[7]TABLO-1'!D4:D32873,"=HAYRABOLU")/P8</f>
        <v>0</v>
      </c>
      <c r="K40" s="10">
        <f>SUMIFS('[7]TABLO-1'!T4:T32873,'[7]TABLO-1'!H4:H32873,"=Dağıtım-AG",'[7]TABLO-1'!J4:J32873,"=Güvenlik",'[7]TABLO-1'!K4:K32873,"=bildirimsiz",'[7]TABLO-1'!I4:I32873,"=Uzun",'[7]TABLO-1'!D4:D32873,"=HAYRABOLU")/P14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</v>
      </c>
      <c r="E41" s="10">
        <f t="shared" ref="E41:M41" si="14">SUM(E31:E40)</f>
        <v>1.7069701280227598E-2</v>
      </c>
      <c r="F41" s="10">
        <f t="shared" si="14"/>
        <v>1.7021276595744685E-2</v>
      </c>
      <c r="G41" s="10">
        <f t="shared" si="14"/>
        <v>0.33789954337899542</v>
      </c>
      <c r="H41" s="10">
        <f t="shared" si="14"/>
        <v>0.41296773216179367</v>
      </c>
      <c r="I41" s="10">
        <f t="shared" si="14"/>
        <v>0.41174279114820056</v>
      </c>
      <c r="J41" s="10">
        <f t="shared" si="14"/>
        <v>0.45833333333333331</v>
      </c>
      <c r="K41" s="10">
        <f t="shared" si="14"/>
        <v>1.1607803136554891</v>
      </c>
      <c r="L41" s="10">
        <f t="shared" si="14"/>
        <v>1.1460491823742354</v>
      </c>
      <c r="M41" s="10">
        <f t="shared" si="14"/>
        <v>0.66490491033111987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İşletmecisi",'[7]TABLO-1'!K4:K32873,"=Bildirimli",'[7]TABLO-1'!I4:I32873,"=Uzun",'[7]TABLO-1'!D4:D32873,"=HAYRABOLU")/P6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İşletmecisi",'[7]TABLO-1'!K4:K32873,"=Bildirimli",'[7]TABLO-1'!I4:I32873,"=Uzun",'[7]TABLO-1'!D4:D32873,"=HAYRABOLU")/P12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İşletmecisi",'[7]TABLO-1'!K4:K32873,"=Bildirimli",'[7]TABLO-1'!I4:I32873,"=Uzun",'[7]TABLO-1'!D4:D32873,"=HAYRABOLU")/P7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İşletmecisi",'[7]TABLO-1'!K4:K32873,"=Bildirimli",'[7]TABLO-1'!I4:I32873,"=Uzun",'[7]TABLO-1'!D4:D32873,"=HAYRABOLU")/P13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İşletmecisi",'[7]TABLO-1'!K4:K32873,"=Bildirimli",'[7]TABLO-1'!I4:I32873,"=Uzun",'[7]TABLO-1'!D4:D32873,"=HAYRABOLU")/P8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İşletmecisi",'[7]TABLO-1'!K4:K32873,"=bildirimli",'[7]TABLO-1'!I4:I32873,"=Uzun",'[7]TABLO-1'!D4:D32873,"=HAYRABOLU")/P14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İşletmecisi",'[7]TABLO-1'!K4:K32873,"=Bildirimli",'[7]TABLO-1'!I4:I32873,"=Uzun",'[7]TABLO-1'!D4:D32873,"=HAYRABOLU")/P6</f>
        <v>0</v>
      </c>
      <c r="E47" s="10">
        <f>SUMIFS('[7]TABLO-1'!P4:P32873,'[7]TABLO-1'!H4:H32873,"=Dağıtım-OG",'[7]TABLO-1'!J4:J32873,"=Şebeke İşletmecisi",'[7]TABLO-1'!K4:K32873,"=Bildirimli",'[7]TABLO-1'!I4:I32873,"=Uzun",'[7]TABLO-1'!D4:D32873,"=HAYRABOLU")/P12</f>
        <v>8.5348506401137988E-3</v>
      </c>
      <c r="F47" s="10">
        <f t="shared" ref="F47:F50" si="15">IFERROR((((D47*$P$6)+(E47*$P$12))/$P$17),"0,00")</f>
        <v>8.5106382978723423E-3</v>
      </c>
      <c r="G47" s="10">
        <f>SUMIFS('[7]TABLO-1'!Q4:Q32873,'[7]TABLO-1'!H4:H32873,"=Dağıtım-OG",'[7]TABLO-1'!J4:J32873,"=Şebeke İşletmecisi",'[7]TABLO-1'!K4:K32873,"=Bildirimli",'[7]TABLO-1'!I4:I32873,"=Uzun",'[7]TABLO-1'!D4:D32873,"=HAYRABOLU")/P7</f>
        <v>0.11415525114155251</v>
      </c>
      <c r="H47" s="10">
        <f>SUMIFS('[7]TABLO-1'!R4:R32873,'[7]TABLO-1'!H4:H32873,"=Dağıtım-OG",'[7]TABLO-1'!J4:J32873,"=Şebeke İşletmecisi",'[7]TABLO-1'!K4:K32873,"=Bildirimli",'[7]TABLO-1'!I4:I32873,"=Uzun",'[7]TABLO-1'!D4:D32873,"=HAYRABOLU")/P13</f>
        <v>0.41183154067565519</v>
      </c>
      <c r="I47" s="10">
        <f t="shared" ref="I47:I50" si="16">IFERROR((((G47*$P$7)+(H47*$P$13))/$P$20),"0,00")</f>
        <v>0.40697414499664702</v>
      </c>
      <c r="J47" s="10">
        <f>SUMIFS('[7]TABLO-1'!S4:S32873,'[7]TABLO-1'!H4:H32873,"=Dağıtım-OG",'[7]TABLO-1'!J4:J32873,"=Şebeke İşletmecisi",'[7]TABLO-1'!K4:K32873,"=Bildirimli",'[7]TABLO-1'!I4:I32873,"=Uzun",'[7]TABLO-1'!D4:D32873,"=HAYRABOLU")/P8</f>
        <v>0.30952380952380953</v>
      </c>
      <c r="K47" s="10">
        <f>SUMIFS('[7]TABLO-1'!T4:T32873,'[7]TABLO-1'!H4:H32873,"=Dağıtım-OG",'[7]TABLO-1'!J4:J32873,"=Şebeke İşletmecisi",'[7]TABLO-1'!K4:K32873,"=bildirimli",'[7]TABLO-1'!I4:I32873,"=Uzun",'[7]TABLO-1'!D4:D32873,"=HAYRABOLU")/P14</f>
        <v>0.93331633303582817</v>
      </c>
      <c r="L47" s="10">
        <f t="shared" ref="L47:L50" si="17">IFERROR((((J47*$P$8)+(K47*$P$14))/$P$23),"0,00")</f>
        <v>0.9202346773186868</v>
      </c>
      <c r="M47" s="11">
        <f t="shared" ref="M47:M50" si="18">IFERROR((((F47*$P$17)+(I47*$P$20)+(L47*$P$23))/$P$26),"0,00")</f>
        <v>0.58002439354926139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SUMIFS('[7]TABLO-1'!O4:O32873,'[7]TABLO-1'!H4:H32873,"=Dağıtım-OG",'[7]TABLO-1'!J4:J32873,"=Güvenlik",'[7]TABLO-1'!K4:K32873,"=Bildirimli",'[7]TABLO-1'!I4:I32873,"=Uzun",'[7]TABLO-1'!D4:D32873,"=HAYRABOLU")/P6</f>
        <v>0</v>
      </c>
      <c r="E48" s="10">
        <f>SUMIFS('[7]TABLO-1'!P4:P32873,'[7]TABLO-1'!H4:H32873,"=Dağıtım-OG",'[7]TABLO-1'!J4:J32873,"=Güvenlik",'[7]TABLO-1'!K4:K32873,"=Bildirimli",'[7]TABLO-1'!I4:I32873,"=Uzun",'[7]TABLO-1'!D4:D32873,"=HAYRABOLU")/P12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SUMIFS('[7]TABLO-1'!Q4:Q32873,'[7]TABLO-1'!H4:H32873,"=Dağıtım-OG",'[7]TABLO-1'!J4:J32873,"=Güvenlik",'[7]TABLO-1'!K4:K32873,"=Bildirimli",'[7]TABLO-1'!I4:I32873,"=Uzun",'[7]TABLO-1'!D4:D32873,"=HAYRABOLU")/P7</f>
        <v>0</v>
      </c>
      <c r="H48" s="10">
        <f>SUMIFS('[7]TABLO-1'!R4:R32873,'[7]TABLO-1'!H4:H32873,"=Dağıtım-OG",'[7]TABLO-1'!J4:J32873,"=Güvenlik",'[7]TABLO-1'!K4:K32873,"=Bildirimli",'[7]TABLO-1'!I4:I32873,"=Uzun",'[7]TABLO-1'!D4:D32873,"=HAYRABOLU")/P13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SUMIFS('[7]TABLO-1'!S4:S32873,'[7]TABLO-1'!H4:H32873,"=Dağıtım-OG",'[7]TABLO-1'!J4:J32873,"=Güvenlik",'[7]TABLO-1'!K4:K32873,"=Bildirimli",'[7]TABLO-1'!I4:I32873,"=Uzun",'[7]TABLO-1'!D4:D32873,"=HAYRABOLU")/P8</f>
        <v>0</v>
      </c>
      <c r="K48" s="10">
        <f>SUMIFS('[7]TABLO-1'!T4:T32873,'[7]TABLO-1'!H4:H32873,"=Dağıtım-OG",'[7]TABLO-1'!J4:J32873,"=Güvenlik",'[7]TABLO-1'!K4:K32873,"=bildirimli",'[7]TABLO-1'!I4:I32873,"=Uzun",'[7]TABLO-1'!D4:D32873,"=HAYRABOLU")/P14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İşletmecisi",'[7]TABLO-1'!K4:K32873,"=Bildirimli",'[7]TABLO-1'!I4:I32873,"=Uzun",'[7]TABLO-1'!D4:D32873,"=HAYRABOLU")/P6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İşletmecisi",'[7]TABLO-1'!K4:K32873,"=Bildirimli",'[7]TABLO-1'!I4:I32873,"=Uzun",'[7]TABLO-1'!D4:D32873,"=HAYRABOLU")/P12</f>
        <v>7.8236130867709822E-2</v>
      </c>
      <c r="F49" s="10">
        <f t="shared" si="15"/>
        <v>7.8014184397163136E-2</v>
      </c>
      <c r="G49" s="12">
        <f>SUMIFS('[7]TABLO-1'!Q4:Q32873,'[7]TABLO-1'!H4:H32873,"=Dağıtım-AG",'[7]TABLO-1'!J4:J32873,"=Şebeke İşletmecisi",'[7]TABLO-1'!K4:K32873,"=Bildirimli",'[7]TABLO-1'!I4:I32873,"=Uzun",'[7]TABLO-1'!D4:D32873,"=HAYRABOLU")/P7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İşletmecisi",'[7]TABLO-1'!K4:K32873,"=Bildirimli",'[7]TABLO-1'!I4:I32873,"=Uzun",'[7]TABLO-1'!D4:D32873,"=HAYRABOLU")/P13</f>
        <v>1.825480987729132E-2</v>
      </c>
      <c r="I49" s="10">
        <f t="shared" si="16"/>
        <v>1.7956933164443783E-2</v>
      </c>
      <c r="J49" s="12">
        <f>SUMIFS('[7]TABLO-1'!S4:S32873,'[7]TABLO-1'!H4:H32873,"=Dağıtım-AG",'[7]TABLO-1'!J4:J32873,"=Şebeke İşletmecisi",'[7]TABLO-1'!K4:K32873,"=Bildirimli",'[7]TABLO-1'!I4:I32873,"=Uzun",'[7]TABLO-1'!D4:D32873,"=HAYRABOLU")/P8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İşletmecisi",'[7]TABLO-1'!K4:K32873,"=bildirimli",'[7]TABLO-1'!I4:I32873,"=Uzun",'[7]TABLO-1'!D4:D32873,"=HAYRABOLU")/P14</f>
        <v>3.289557567257427E-2</v>
      </c>
      <c r="L49" s="10">
        <f t="shared" si="17"/>
        <v>3.2205717138933963E-2</v>
      </c>
      <c r="M49" s="11">
        <f t="shared" si="18"/>
        <v>2.5025974612639473E-2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SUMIFS('[7]TABLO-1'!O4:O32873,'[7]TABLO-1'!H4:H32873,"=Dağıtım-AG",'[7]TABLO-1'!J4:J32873,"=Güvenlik",'[7]TABLO-1'!K4:K32873,"=Bildirimli",'[7]TABLO-1'!I4:I32873,"=Uzun",'[7]TABLO-1'!D4:D32873,"=HAYRABOLU")/P6</f>
        <v>0</v>
      </c>
      <c r="E50" s="10">
        <f>SUMIFS('[7]TABLO-1'!P4:P32873,'[7]TABLO-1'!H4:H32873,"=Dağıtım-AG",'[7]TABLO-1'!J4:J32873,"=Güvenlik",'[7]TABLO-1'!K4:K32873,"=Bildirimli",'[7]TABLO-1'!I4:I32873,"=Uzun",'[7]TABLO-1'!D4:D32873,"=HAYRABOLU")/P12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SUMIFS('[7]TABLO-1'!Q4:Q32873,'[7]TABLO-1'!H4:H32873,"=Dağıtım-AG",'[7]TABLO-1'!J4:J32873,"=Güvenlik",'[7]TABLO-1'!K4:K32873,"=Bildirimli",'[7]TABLO-1'!I4:I32873,"=Uzun",'[7]TABLO-1'!D4:D32873,"=HAYRABOLU")/P7</f>
        <v>0</v>
      </c>
      <c r="H50" s="10">
        <f>SUMIFS('[7]TABLO-1'!R4:R32873,'[7]TABLO-1'!H4:H32873,"=Dağıtım-AG",'[7]TABLO-1'!J4:J32873,"=Güvenlik",'[7]TABLO-1'!K4:K32873,"=Bildirimli",'[7]TABLO-1'!I4:I32873,"=Uzun",'[7]TABLO-1'!D4:D32873,"=HAYRABOLU")/P13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SUMIFS('[7]TABLO-1'!S4:S32873,'[7]TABLO-1'!H4:H32873,"=Dağıtım-AG",'[7]TABLO-1'!J4:J32873,"=Güvenlik",'[7]TABLO-1'!K4:K32873,"=Bildirimli",'[7]TABLO-1'!I4:I32873,"=Uzun",'[7]TABLO-1'!D4:D32873,"=HAYRABOLU")/P8</f>
        <v>0</v>
      </c>
      <c r="K50" s="10">
        <f>SUMIFS('[7]TABLO-1'!T4:T32873,'[7]TABLO-1'!H4:H32873,"=Dağıtım-AG",'[7]TABLO-1'!J4:J32873,"=Güvenlik",'[7]TABLO-1'!K4:K32873,"=bildirimli",'[7]TABLO-1'!I4:I32873,"=Uzun",'[7]TABLO-1'!D4:D32873,"=HAYRABOLU")/P14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</v>
      </c>
      <c r="E51" s="10">
        <f t="shared" ref="E51:M51" si="19">SUM(E46:E50)</f>
        <v>8.6770981507823614E-2</v>
      </c>
      <c r="F51" s="10">
        <f t="shared" si="19"/>
        <v>8.6524822695035475E-2</v>
      </c>
      <c r="G51" s="10">
        <f t="shared" si="19"/>
        <v>0.11415525114155251</v>
      </c>
      <c r="H51" s="10">
        <f t="shared" si="19"/>
        <v>0.43008635055294653</v>
      </c>
      <c r="I51" s="10">
        <f t="shared" si="19"/>
        <v>0.42493107816109082</v>
      </c>
      <c r="J51" s="10">
        <f t="shared" si="19"/>
        <v>0.30952380952380953</v>
      </c>
      <c r="K51" s="10">
        <f t="shared" si="19"/>
        <v>0.96621190870840246</v>
      </c>
      <c r="L51" s="10">
        <f t="shared" si="19"/>
        <v>0.95244039445762074</v>
      </c>
      <c r="M51" s="10">
        <f t="shared" si="19"/>
        <v>0.60505036816190083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SUMIFS('[7]TABLO-1'!O1:O32873,'[7]TABLO-1'!H1:H32873,"=İletim",'[7]TABLO-1'!K1:K32873,"=Bildirimsiz",'[7]TABLO-1'!I1:I32873,"=Kısa",'[7]TABLO-1'!D1:D32873,"=HAYRABOLU")/P6</f>
        <v>0</v>
      </c>
      <c r="D56" s="10">
        <f>SUMIFS('[7]TABLO-1'!P1:P32873,'[7]TABLO-1'!H1:H32873,"=İletim",'[7]TABLO-1'!K1:K32873,"=Bildirimsiz",'[7]TABLO-1'!I1:I32873,"=Kısa",'[7]TABLO-1'!D1:D32873,"=HAYRABOLU")/P12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SUMIFS('[7]TABLO-1'!Q1:Q32873,'[7]TABLO-1'!H1:H32873,"=İletim",'[7]TABLO-1'!K1:K32873,"=Bildirimsiz",'[7]TABLO-1'!I1:I32873,"=Kısa",'[7]TABLO-1'!D1:D32873,"=HAYRABOLU")/P7</f>
        <v>0</v>
      </c>
      <c r="G56" s="10">
        <f>SUMIFS('[7]TABLO-1'!R1:R32873,'[7]TABLO-1'!H1:H32873,"=İletim",'[7]TABLO-1'!K1:K32873,"=Bildirimsiz",'[7]TABLO-1'!I1:I32873,"=Kısa",'[7]TABLO-1'!D1:D32873,"=HAYRABOLU")/P13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SUMIFS('[7]TABLO-1'!S1:S32873,'[7]TABLO-1'!H1:H32873,"=İletim",'[7]TABLO-1'!K1:K32873,"=Bildirimsiz",'[7]TABLO-1'!I1:I32873,"=Kısa",'[7]TABLO-1'!D1:D32873,"=HAYRABOLU")/P8</f>
        <v>0</v>
      </c>
      <c r="J56" s="10">
        <f>SUMIFS('[7]TABLO-1'!T1:T32873,'[7]TABLO-1'!H1:H32873,"=İletim",'[7]TABLO-1'!K1:K32873,"=Bildirimsiz",'[7]TABLO-1'!I1:I32873,"=Kısa",'[7]TABLO-1'!D1:D32873,"=HAYRABOLU")/P14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SUMIFS('[7]TABLO-1'!O4:O32873,'[7]TABLO-1'!H4:H32873,"=Dağıtım-OG",'[7]TABLO-1'!K4:K32873,"=Bildirimsiz",'[7]TABLO-1'!I4:I32873,"=Kısa",'[7]TABLO-1'!D4:D32873,"=HAYRABOLU")/P6</f>
        <v>0</v>
      </c>
      <c r="D57" s="10">
        <f>SUMIFS('[7]TABLO-1'!P4:P32873,'[7]TABLO-1'!H4:H32873,"=Dağıtım-OG",'[7]TABLO-1'!K4:K32873,"=Bildirimsiz",'[7]TABLO-1'!I4:I32873,"=Kısa",'[7]TABLO-1'!D4:D32873,"=HAYRABOLU")/P12</f>
        <v>1.5547652916073968</v>
      </c>
      <c r="E57" s="10">
        <f>IFERROR((((C57*$P$6)+(D57*$P$12))/$P$17),"0,00")</f>
        <v>1.5503546099290779</v>
      </c>
      <c r="F57" s="10">
        <f>SUMIFS('[7]TABLO-1'!Q4:Q32873,'[7]TABLO-1'!H4:H32873,"=Dağıtım-OG",'[7]TABLO-1'!K4:K32873,"=Bildirimsiz",'[7]TABLO-1'!I4:I32873,"=Kısa",'[7]TABLO-1'!D4:D32873,"=HAYRABOLU")/P7</f>
        <v>0.21917808219178081</v>
      </c>
      <c r="G57" s="10">
        <f>SUMIFS('[7]TABLO-1'!R4:R32873,'[7]TABLO-1'!H4:H32873,"=Dağıtım-OG",'[7]TABLO-1'!K4:K32873,"=Bildirimsiz",'[7]TABLO-1'!I4:I32873,"=Kısa",'[7]TABLO-1'!D4:D32873,"=HAYRABOLU")/P13</f>
        <v>6.0596879260718076E-4</v>
      </c>
      <c r="H57" s="10">
        <f>IFERROR((((F57*$P$7)+(G57*$P$13))/$P$20),"0,00")</f>
        <v>4.172565382609344E-3</v>
      </c>
      <c r="I57" s="10">
        <f>SUMIFS('[7]TABLO-1'!S4:S32873,'[7]TABLO-1'!H4:H32873,"=Dağıtım-OG",'[7]TABLO-1'!K4:K32873,"=Bildirimsiz",'[7]TABLO-1'!I4:I32873,"=Kısa",'[7]TABLO-1'!D4:D32873,"=HAYRABOLU")/P8</f>
        <v>0.30357142857142855</v>
      </c>
      <c r="J57" s="10">
        <f>SUMIFS('[7]TABLO-1'!T4:T32873,'[7]TABLO-1'!H4:H32873,"=Dağıtım-OG",'[7]TABLO-1'!K4:K32873,"=Bildirimsiz",'[7]TABLO-1'!I4:I32873,"=Kısa",'[7]TABLO-1'!D4:D32873,"=HAYRABOLU")/P14</f>
        <v>0.72829274512303965</v>
      </c>
      <c r="K57" s="10">
        <f>IFERROR((((I57*$P$8)+(J57*$P$14))/$P$23),"0,00")</f>
        <v>0.71938584446386222</v>
      </c>
      <c r="L57" s="11">
        <f>IFERROR((((E57*$P$17)+(H57*$P$20)+(K57*$P$23))/$P$26),"0,00")</f>
        <v>0.31223743054614445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SUMIFS('[7]TABLO-1'!O4:O32873,'[7]TABLO-1'!H4:H32873,"=Dağıtım-AG",'[7]TABLO-1'!K4:K32873,"=Bildirimsiz",'[7]TABLO-1'!I4:I32873,"=Kısa",'[7]TABLO-1'!D4:D32873,"=HAYRABOLU")/P6</f>
        <v>0</v>
      </c>
      <c r="D58" s="10">
        <f>SUMIFS('[7]TABLO-1'!P4:P32873,'[7]TABLO-1'!H4:H32873,"=Dağıtım-AG",'[7]TABLO-1'!K4:K32873,"=Bildirimsiz",'[7]TABLO-1'!I4:I32873,"=Kısa",'[7]TABLO-1'!D4:D32873,"=HAYRABOLU")/P12</f>
        <v>0</v>
      </c>
      <c r="E58" s="10">
        <f>IFERROR((((C58*$P$6)+(D58*$P$12))/$P$17),"0,00")</f>
        <v>0</v>
      </c>
      <c r="F58" s="10">
        <f>SUMIFS('[7]TABLO-1'!Q4:Q32873,'[7]TABLO-1'!H4:H32873,"=Dağıtım-AG",'[7]TABLO-1'!K4:K32873,"=Bildirimsiz",'[7]TABLO-1'!I4:I32873,"=Kısa",'[7]TABLO-1'!D4:D32873,"=HAYRABOLU")/P7</f>
        <v>0</v>
      </c>
      <c r="G58" s="10">
        <f>SUMIFS('[7]TABLO-1'!R4:R32873,'[7]TABLO-1'!H4:H32873,"=Dağıtım-AG",'[7]TABLO-1'!K4:K32873,"=Bildirimsiz",'[7]TABLO-1'!I4:I32873,"=Kısa",'[7]TABLO-1'!D4:D32873,"=HAYRABOLU")/P13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SUMIFS('[7]TABLO-1'!S4:S32873,'[7]TABLO-1'!H4:H32873,"=Dağıtım-AG",'[7]TABLO-1'!K4:K32873,"=Bildirimsiz",'[7]TABLO-1'!I4:I32873,"=Kısa",'[7]TABLO-1'!D4:D32873,"=HAYRABOLU")/P8</f>
        <v>0</v>
      </c>
      <c r="J58" s="10">
        <f>SUMIFS('[7]TABLO-1'!T4:T32873,'[7]TABLO-1'!H4:H32873,"=Dağıtım-AG",'[7]TABLO-1'!K4:K32873,"=Bildirimsiz",'[7]TABLO-1'!I4:I32873,"=Kısa",'[7]TABLO-1'!D4:D32873,"=HAYRABOLU")/P14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1.5547652916073968</v>
      </c>
      <c r="E59" s="10">
        <f t="shared" si="20"/>
        <v>1.5503546099290779</v>
      </c>
      <c r="F59" s="10">
        <f t="shared" si="20"/>
        <v>0.21917808219178081</v>
      </c>
      <c r="G59" s="10">
        <f t="shared" si="20"/>
        <v>6.0596879260718076E-4</v>
      </c>
      <c r="H59" s="10">
        <f t="shared" si="20"/>
        <v>4.172565382609344E-3</v>
      </c>
      <c r="I59" s="10">
        <f t="shared" si="20"/>
        <v>0.30357142857142855</v>
      </c>
      <c r="J59" s="10">
        <f t="shared" si="20"/>
        <v>0.72829274512303965</v>
      </c>
      <c r="K59" s="10">
        <f t="shared" si="20"/>
        <v>0.71938584446386222</v>
      </c>
      <c r="L59" s="10">
        <f t="shared" si="20"/>
        <v>0.31223743054614445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2</v>
      </c>
      <c r="D65" s="27">
        <f>P12</f>
        <v>703</v>
      </c>
      <c r="E65" s="27">
        <f>C65+D65</f>
        <v>705</v>
      </c>
      <c r="F65" s="17">
        <f>P7</f>
        <v>219</v>
      </c>
      <c r="G65" s="27">
        <f>P13</f>
        <v>13202</v>
      </c>
      <c r="H65" s="17">
        <f>SUM(F65:G65)</f>
        <v>13421</v>
      </c>
      <c r="I65" s="17">
        <f>P8</f>
        <v>168</v>
      </c>
      <c r="J65" s="27">
        <f>P14</f>
        <v>7843</v>
      </c>
      <c r="K65" s="17">
        <f>SUM(I65:J65)</f>
        <v>8011</v>
      </c>
      <c r="L65" s="17">
        <f>H65+E65+K65</f>
        <v>22137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Q71"/>
  <sheetViews>
    <sheetView zoomScale="70" zoomScaleNormal="70" workbookViewId="0">
      <selection activeCell="M66" sqref="M6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İşletmecisi",'[7]TABLO-1'!K4:K32873,"=Bildirimsiz",'[7]TABLO-1'!I4:I32873,"=Uzun",'[7]TABLO-1'!D4:D32873,"=MARMARAEREĞLİSİ")/P6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İşletmecisi",'[7]TABLO-1'!K4:K32873,"=Bildirimsiz",'[7]TABLO-1'!I4:I32873,"=Uzun",'[7]TABLO-1'!D4:D32873,"=MARMARAEREĞLİSİ")/P12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İşletmecisi",'[7]TABLO-1'!K4:K32873,"=Bildirimsiz",'[7]TABLO-1'!I4:I32873,"=Uzun",'[7]TABLO-1'!D4:D32873,"=MARMARAEREĞLİSİ")/P7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İşletmecisi",'[7]TABLO-1'!K4:K32873,"=Bildirimsiz",'[7]TABLO-1'!I4:I32873,"=Uzun",'[7]TABLO-1'!D4:D32873,"=MARMARAEREĞLİSİ")/P13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İşletmecisi",'[7]TABLO-1'!K4:K32873,"=Bildirimsiz",'[7]TABLO-1'!I4:I32873,"=Uzun",'[7]TABLO-1'!D4:D32873,"=MARMARAEREĞLİSİ")/P8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İşletmecisi",'[7]TABLO-1'!K4:K32873,"=Bildirimsiz",'[7]TABLO-1'!I4:I32873,"=Uzun",'[7]TABLO-1'!D4:D32873,"=MARMARAEREĞLİSİ")/P14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52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Sebep",'[7]TABLO-1'!K4:K32873,"=Bildirimsiz",'[7]TABLO-1'!I4:I32873,"=Uzun",'[7]TABLO-1'!D4:D32873,"=MARMARAEREĞLİSİ")/P6</f>
        <v>0</v>
      </c>
      <c r="E7" s="10">
        <f>SUMIFS('[7]TABLO-1'!V4:V32873,'[7]TABLO-1'!H4:H32873,"=İletim",'[7]TABLO-1'!J4:J32873,"=Mücbir Sebep",'[7]TABLO-1'!K4:K32873,"=Bildirimsiz",'[7]TABLO-1'!I4:I32873,"=Uzun",'[7]TABLO-1'!D4:D32873,"=MARMARAEREĞLİSİ")/P12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Sebep",'[7]TABLO-1'!K4:K32873,"=Bildirimsiz",'[7]TABLO-1'!I4:I32873,"=Uzun",'[7]TABLO-1'!D4:D32873,"=MARMARAEREĞLİSİ")/P7</f>
        <v>0</v>
      </c>
      <c r="H7" s="10">
        <f>SUMIFS('[7]TABLO-1'!X4:X32873,'[7]TABLO-1'!H4:H32873,"=İletim",'[7]TABLO-1'!J4:J32873,"=Mücbir Sebep",'[7]TABLO-1'!K4:K32873,"=Bildirimsiz",'[7]TABLO-1'!I4:I32873,"=Uzun",'[7]TABLO-1'!D4:D32873,"=MARMARAEREĞLİSİ")/P13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Sebep",'[7]TABLO-1'!K4:K32873,"=Bildirimsiz",'[7]TABLO-1'!I4:I32873,"=Uzun",'[7]TABLO-1'!D4:D32873,"=MARMARAEREĞLİSİ")/P8</f>
        <v>0</v>
      </c>
      <c r="K7" s="10">
        <f>SUMIFS('[7]TABLO-1'!Z4:Z32873,'[7]TABLO-1'!H4:H32873,"=İletim",'[7]TABLO-1'!J4:J32873,"=Mücbir Sebep",'[7]TABLO-1'!K4:K32873,"=Bildirimsiz",'[7]TABLO-1'!I4:I32873,"=Uzun",'[7]TABLO-1'!D4:D32873,"=MARMARAEREĞLİSİ")/P14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111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İşletmecisi",'[7]TABLO-1'!K4:K32873,"=Bildirimsiz",'[7]TABLO-1'!I4:I32873,"=Uzun",'[7]TABLO-1'!D4:D32873,"=MARMARAEREĞLİSİ")/P6</f>
        <v>44.162820514578087</v>
      </c>
      <c r="E8" s="10">
        <f>SUMIFS('[7]TABLO-1'!V4:V32873,'[7]TABLO-1'!H4:H32873,"=Dağıtım-OG",'[7]TABLO-1'!J4:J32873,"=Şebeke İşletmecisi",'[7]TABLO-1'!K4:K32873,"=Bildirimsiz",'[7]TABLO-1'!I4:I32873,"=Uzun",'[7]TABLO-1'!D4:D32873,"=MARMARAEREĞLİSİ")/P12</f>
        <v>80.223751058200563</v>
      </c>
      <c r="F8" s="10">
        <f t="shared" si="0"/>
        <v>80.150920499756154</v>
      </c>
      <c r="G8" s="10">
        <f>SUMIFS('[7]TABLO-1'!W4:W32873,'[7]TABLO-1'!H4:H32873,"=Dağıtım-OG",'[7]TABLO-1'!J4:J32873,"=Şebeke İşletmecisi",'[7]TABLO-1'!K4:K32873,"=Bildirimsiz",'[7]TABLO-1'!I4:I32873,"=Uzun",'[7]TABLO-1'!D4:D32873,"=MARMARAEREĞLİSİ")/P7</f>
        <v>30.39324324493095</v>
      </c>
      <c r="H8" s="10">
        <f>SUMIFS('[7]TABLO-1'!X4:X32873,'[7]TABLO-1'!H4:H32873,"=Dağıtım-OG",'[7]TABLO-1'!J4:J32873,"=Şebeke İşletmecisi",'[7]TABLO-1'!K4:K32873,"=Bildirimsiz",'[7]TABLO-1'!I4:I32873,"=Uzun",'[7]TABLO-1'!D4:D32873,"=MARMARAEREĞLİSİ")/P13</f>
        <v>36.364793724557117</v>
      </c>
      <c r="I8" s="10">
        <f t="shared" si="1"/>
        <v>36.337662534542851</v>
      </c>
      <c r="J8" s="10">
        <f>SUMIFS('[7]TABLO-1'!Y4:Y32873,'[7]TABLO-1'!H4:H32873,"=Dağıtım-OG",'[7]TABLO-1'!J4:J32873,"=Şebeke İşletmecisi",'[7]TABLO-1'!K4:K32873,"=Bildirimsiz",'[7]TABLO-1'!I4:I32873,"=Uzun",'[7]TABLO-1'!D4:D32873,"=MARMARAEREĞLİSİ")/P8</f>
        <v>5.3447368424875954</v>
      </c>
      <c r="K8" s="10">
        <f>SUMIFS('[7]TABLO-1'!Z4:Z32873,'[7]TABLO-1'!H4:H32873,"=Dağıtım-OG",'[7]TABLO-1'!J4:J32873,"=Şebeke İşletmecisi",'[7]TABLO-1'!K4:K32873,"=Bildirimsiz",'[7]TABLO-1'!I4:I32873,"=Uzun",'[7]TABLO-1'!D4:D32873,"=MARMARAEREĞLİSİ")/P14</f>
        <v>0.48658827540787519</v>
      </c>
      <c r="L8" s="10">
        <f t="shared" si="2"/>
        <v>0.57917084589384782</v>
      </c>
      <c r="M8" s="11">
        <f t="shared" si="3"/>
        <v>57.684193782549954</v>
      </c>
      <c r="O8" s="20" t="s">
        <v>36</v>
      </c>
      <c r="P8" s="53">
        <v>19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SUMIFS('[7]TABLO-1'!U4:U32873,'[7]TABLO-1'!H4:H32873,"=Dağıtım-OG",'[7]TABLO-1'!J4:J32873,"=Dışsal",'[7]TABLO-1'!K4:K32873,"=Bildirimsiz",'[7]TABLO-1'!I4:I32873,"=Uzun",'[7]TABLO-1'!D4:D32873,"=MARMARAEREĞLİSİ")/P6</f>
        <v>0</v>
      </c>
      <c r="E9" s="10">
        <f>SUMIFS('[7]TABLO-1'!V4:V32873,'[7]TABLO-1'!H4:H32873,"=Dağıtım-OG",'[7]TABLO-1'!J4:J32873,"=Dışsal",'[7]TABLO-1'!K4:K32873,"=Bildirimsiz",'[7]TABLO-1'!I4:I32873,"=Uzun",'[7]TABLO-1'!D4:D32873,"=MARMARAEREĞLİSİ")/P12</f>
        <v>0.1029928001573541</v>
      </c>
      <c r="F9" s="10">
        <f t="shared" si="0"/>
        <v>0.10278479046270297</v>
      </c>
      <c r="G9" s="10">
        <f>SUMIFS('[7]TABLO-1'!W4:W32873,'[7]TABLO-1'!H4:H32873,"=Dağıtım-OG",'[7]TABLO-1'!J4:J32873,"=Dışsal",'[7]TABLO-1'!K4:K32873,"=Bildirimsiz",'[7]TABLO-1'!I4:I32873,"=Uzun",'[7]TABLO-1'!D4:D32873,"=MARMARAEREĞLİSİ")/P7</f>
        <v>21.854654655011522</v>
      </c>
      <c r="H9" s="10">
        <f>SUMIFS('[7]TABLO-1'!X4:X32873,'[7]TABLO-1'!H4:H32873,"=Dağıtım-OG",'[7]TABLO-1'!J4:J32873,"=Dışsal",'[7]TABLO-1'!K4:K32873,"=Bildirimsiz",'[7]TABLO-1'!I4:I32873,"=Uzun",'[7]TABLO-1'!D4:D32873,"=MARMARAEREĞLİSİ")/P13</f>
        <v>30.41401315839137</v>
      </c>
      <c r="I9" s="10">
        <f t="shared" si="1"/>
        <v>30.375124500789344</v>
      </c>
      <c r="J9" s="10">
        <f>SUMIFS('[7]TABLO-1'!Y4:Y32873,'[7]TABLO-1'!H4:H32873,"=Dağıtım-OG",'[7]TABLO-1'!J4:J32873,"=Dışsal",'[7]TABLO-1'!K4:K32873,"=Bildirimsiz",'[7]TABLO-1'!I4:I32873,"=Uzun",'[7]TABLO-1'!D4:D32873,"=MARMARAEREĞLİSİ")/P8</f>
        <v>0</v>
      </c>
      <c r="K9" s="10">
        <f>SUMIFS('[7]TABLO-1'!Z4:Z32873,'[7]TABLO-1'!H4:H32873,"=Dağıtım-OG",'[7]TABLO-1'!J4:J32873,"=Dışsal",'[7]TABLO-1'!K4:K32873,"=Bildirimsiz",'[7]TABLO-1'!I4:I32873,"=Uzun",'[7]TABLO-1'!D4:D32873,"=MARMARAEREĞLİSİ")/P14</f>
        <v>0</v>
      </c>
      <c r="L9" s="10">
        <f t="shared" si="2"/>
        <v>0</v>
      </c>
      <c r="M9" s="11">
        <f t="shared" si="3"/>
        <v>14.552829832512508</v>
      </c>
      <c r="O9" s="20" t="s">
        <v>17</v>
      </c>
      <c r="P9" s="53">
        <f>P6+P7+P8</f>
        <v>182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Sebep",'[7]TABLO-1'!K4:K32873,"=Bildirimsiz",'[7]TABLO-1'!I4:I32873,"=Uzun",'[7]TABLO-1'!D4:D32873,"=MARMARAEREĞLİSİ")/P6</f>
        <v>0</v>
      </c>
      <c r="E10" s="10">
        <f>SUMIFS('[7]TABLO-1'!V4:V32873,'[7]TABLO-1'!H4:H32873,"=Dağıtım-OG",'[7]TABLO-1'!J4:J32873,"=Mücbir Sebep",'[7]TABLO-1'!K4:K32873,"=Bildirimsiz",'[7]TABLO-1'!I4:I32873,"=Uzun",'[7]TABLO-1'!D4:D32873,"=MARMARAEREĞLİSİ")/P12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Sebep",'[7]TABLO-1'!K4:K32873,"=Bildirimsiz",'[7]TABLO-1'!I4:I32873,"=Uzun",'[7]TABLO-1'!D4:D32873,"=MARMARAEREĞLİSİ")/P7</f>
        <v>0</v>
      </c>
      <c r="H10" s="10">
        <f>SUMIFS('[7]TABLO-1'!X4:X32873,'[7]TABLO-1'!H4:H32873,"=Dağıtım-OG",'[7]TABLO-1'!J4:J32873,"=Mücbir Sebep",'[7]TABLO-1'!K4:K32873,"=Bildirimsiz",'[7]TABLO-1'!I4:I32873,"=Uzun",'[7]TABLO-1'!D4:D32873,"=MARMARAEREĞLİSİ")/P13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Sebep",'[7]TABLO-1'!K4:K32873,"=Bildirimsiz",'[7]TABLO-1'!I4:I32873,"=Uzun",'[7]TABLO-1'!D4:D32873,"=MARMARAEREĞLİSİ")/P8</f>
        <v>0</v>
      </c>
      <c r="K10" s="10">
        <f>SUMIFS('[7]TABLO-1'!Z4:Z32873,'[7]TABLO-1'!H4:H32873,"=Dağıtım-OG",'[7]TABLO-1'!J4:J32873,"=Mücbir Sebep",'[7]TABLO-1'!K4:K32873,"=Bildirimsiz",'[7]TABLO-1'!I4:I32873,"=Uzun",'[7]TABLO-1'!D4:D32873,"=MARMARAEREĞLİSİ")/P14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SUMIFS('[7]TABLO-1'!U4:U32873,'[7]TABLO-1'!H4:H32873,"=Dağıtım-OG",'[7]TABLO-1'!J4:J32873,"=Güvenlik",'[7]TABLO-1'!K4:K32873,"=Bildirimsiz",'[7]TABLO-1'!I4:I32873,"=Uzun",'[7]TABLO-1'!D4:D32873,"=MARMARAEREĞLİSİ")/P6</f>
        <v>0</v>
      </c>
      <c r="E11" s="10">
        <f>SUMIFS('[7]TABLO-1'!V4:V32873,'[7]TABLO-1'!H4:H32873,"=Dağıtım-OG",'[7]TABLO-1'!J4:J32873,"=Güvenlik",'[7]TABLO-1'!K4:K32873,"=Bildirimsiz",'[7]TABLO-1'!I4:I32873,"=Uzun",'[7]TABLO-1'!D4:D32873,"=MARMARAEREĞLİSİ")/P12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SUMIFS('[7]TABLO-1'!W4:W32873,'[7]TABLO-1'!H4:H32873,"=Dağıtım-OG",'[7]TABLO-1'!J4:J32873,"=Güvenlik",'[7]TABLO-1'!K4:K32873,"=Bildirimsiz",'[7]TABLO-1'!I4:I32873,"=Uzun",'[7]TABLO-1'!D4:D32873,"=MARMARAEREĞLİSİ")/P7</f>
        <v>0</v>
      </c>
      <c r="H11" s="10">
        <f>SUMIFS('[7]TABLO-1'!X4:X32873,'[7]TABLO-1'!H4:H32873,"=Dağıtım-OG",'[7]TABLO-1'!J4:J32873,"=Güvenlik",'[7]TABLO-1'!K4:K32873,"=Bildirimsiz",'[7]TABLO-1'!I4:I32873,"=Uzun",'[7]TABLO-1'!D4:D32873,"=MARMARAEREĞLİSİ")/P13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SUMIFS('[7]TABLO-1'!Y4:Y32873,'[7]TABLO-1'!H4:H32873,"=Dağıtım-OG",'[7]TABLO-1'!J4:J32873,"=Güvenlik",'[7]TABLO-1'!K4:K32873,"=Bildirimsiz",'[7]TABLO-1'!I4:I32873,"=Uzun",'[7]TABLO-1'!D4:D32873,"=MARMARAEREĞLİSİ")/P8</f>
        <v>0</v>
      </c>
      <c r="K11" s="10">
        <f>SUMIFS('[7]TABLO-1'!Z4:Z32873,'[7]TABLO-1'!H4:H32873,"=Dağıtım-OG",'[7]TABLO-1'!J4:J32873,"=Güvenlik",'[7]TABLO-1'!K4:K32873,"=Bildirimsiz",'[7]TABLO-1'!I4:I32873,"=Uzun",'[7]TABLO-1'!D4:D32873,"=MARMARAEREĞLİSİ")/P14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İşletmecisi",'[7]TABLO-1'!K4:K32873,"=Bildirimsiz",'[7]TABLO-1'!I4:I32873,"=Uzun",'[7]TABLO-1'!D4:D32873,"=MARMARAEREĞLİSİ")/P6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işletmecisi",'[7]TABLO-1'!K4:K32873,"=Bildirimsiz",'[7]TABLO-1'!I4:I32873,"=Uzun",'[7]TABLO-1'!D4:D32873,"=MARMARAEREĞLİSİ")/P12</f>
        <v>23.853434520230046</v>
      </c>
      <c r="F12" s="10">
        <f t="shared" si="0"/>
        <v>23.80525886500606</v>
      </c>
      <c r="G12" s="12">
        <f>SUMIFS('[7]TABLO-1'!W4:W32873,'[7]TABLO-1'!H4:H32873,"=Dağıtım-AG",'[7]TABLO-1'!J4:J32873,"=Şebeke İşletmecisi",'[7]TABLO-1'!K4:K32873,"=Bildirimsiz",'[7]TABLO-1'!I4:I32873,"=Uzun",'[7]TABLO-1'!D4:D32873,"=MARMARAEREĞLİSİ")/P7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İşletmecisi",'[7]TABLO-1'!K4:K32873,"=Bildirimsiz",'[7]TABLO-1'!I4:I32873,"=Uzun",'[7]TABLO-1'!D4:D32873,"=MARMARAEREĞLİSİ")/P13</f>
        <v>6.582809758665749</v>
      </c>
      <c r="I12" s="10">
        <f t="shared" si="1"/>
        <v>6.552901368374239</v>
      </c>
      <c r="J12" s="12">
        <f>SUMIFS('[7]TABLO-1'!Y4:Y32873,'[7]TABLO-1'!H4:H32873,"=Dağıtım-AG",'[7]TABLO-1'!J4:J32873,"=Şebeke İşletmecisi",'[7]TABLO-1'!K4:K32873,"=Bildirimsiz",'[7]TABLO-1'!I4:I32873,"=Uzun",'[7]TABLO-1'!D4:D32873,"=MARMARAEREĞLİSİ")/P8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İşletmecisi",'[7]TABLO-1'!K4:K32873,"=Bildirimsiz",'[7]TABLO-1'!I4:I32873,"=Uzun",'[7]TABLO-1'!D4:D32873,"=MARMARAEREĞLİSİ")/P14</f>
        <v>5.9253578731344521E-2</v>
      </c>
      <c r="L12" s="10">
        <f t="shared" si="2"/>
        <v>5.8124373118610774E-2</v>
      </c>
      <c r="M12" s="11">
        <f t="shared" si="3"/>
        <v>15.106319166156547</v>
      </c>
      <c r="O12" s="6" t="s">
        <v>33</v>
      </c>
      <c r="P12" s="42">
        <v>25695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SUMIFS('[7]TABLO-1'!U4:U32873,'[7]TABLO-1'!H4:H32873,"=Dağıtım-AG",'[7]TABLO-1'!J4:J32873,"=Dışsal",'[7]TABLO-1'!K4:K32873,"=Bildirimsiz",'[7]TABLO-1'!I4:I32873,"=Uzun",'[7]TABLO-1'!D4:D32873,"=MARMARAEREĞLİSİ")/P6</f>
        <v>0</v>
      </c>
      <c r="E13" s="10">
        <f>SUMIFS('[7]TABLO-1'!V4:V32873,'[7]TABLO-1'!H4:H32873,"=Dağıtım-AG",'[7]TABLO-1'!J4:J32873,"=Dışsal",'[7]TABLO-1'!K4:K32873,"=Bildirimsiz",'[7]TABLO-1'!I4:I32873,"=Uzun",'[7]TABLO-1'!D4:D32873,"=MARMARAEREĞLİSİ")/P12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SUMIFS('[7]TABLO-1'!W4:W32873,'[7]TABLO-1'!H4:H32873,"=Dağıtım-AG",'[7]TABLO-1'!J4:J32873,"=Dışsal",'[7]TABLO-1'!K4:K32873,"=Bildirimsiz",'[7]TABLO-1'!I4:I32873,"=Uzun",'[7]TABLO-1'!D4:D32873,"=MARMARAEREĞLİSİ")/P7</f>
        <v>0</v>
      </c>
      <c r="H13" s="10">
        <f>SUMIFS('[7]TABLO-1'!X4:X32873,'[7]TABLO-1'!H4:H32873,"=Dağıtım-AG",'[7]TABLO-1'!J4:J32873,"=Dışsal",'[7]TABLO-1'!K4:K32873,"=Bildirimsiz",'[7]TABLO-1'!I4:I32873,"=Uzun",'[7]TABLO-1'!D4:D32873,"=MARMARAEREĞLİSİ")/P13</f>
        <v>0.81641995616988228</v>
      </c>
      <c r="I13" s="10">
        <f t="shared" si="1"/>
        <v>0.81271062723799836</v>
      </c>
      <c r="J13" s="12">
        <f>SUMIFS('[7]TABLO-1'!Y4:Y32873,'[7]TABLO-1'!H4:H32873,"=Dağıtım-AG",'[7]TABLO-1'!J4:J32873,"=Dışsal",'[7]TABLO-1'!K4:K32873,"=Bildirimsiz",'[7]TABLO-1'!I4:I32873,"=Uzun",'[7]TABLO-1'!D4:D32873,"=MARMARAEREĞLİSİ")/P8</f>
        <v>0</v>
      </c>
      <c r="K13" s="10">
        <f>SUMIFS('[7]TABLO-1'!Z4:Z32873,'[7]TABLO-1'!H4:H32873,"=Dağıtım-AG",'[7]TABLO-1'!J4:J32873,"=Dışsal",'[7]TABLO-1'!K4:K32873,"=Bildirimsiz",'[7]TABLO-1'!I4:I32873,"=Uzun",'[7]TABLO-1'!D4:D32873,"=MARMARAEREĞLİSİ")/P14</f>
        <v>0</v>
      </c>
      <c r="L13" s="10">
        <f t="shared" si="2"/>
        <v>0</v>
      </c>
      <c r="M13" s="11">
        <f t="shared" si="3"/>
        <v>0.38798892689890646</v>
      </c>
      <c r="O13" s="6" t="s">
        <v>35</v>
      </c>
      <c r="P13" s="42">
        <v>24320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Sebep",'[7]TABLO-1'!K4:K32873,"=Bildirimsiz",'[7]TABLO-1'!I4:I32873,"=Uzun",'[7]TABLO-1'!D4:D32873,"=MARMARAEREĞLİSİ")/P6</f>
        <v>0</v>
      </c>
      <c r="E14" s="10">
        <f>SUMIFS('[7]TABLO-1'!V4:V32873,'[7]TABLO-1'!H4:H32873,"=Dağıtım-AG",'[7]TABLO-1'!J4:J32873,"=Mücbir Sebep",'[7]TABLO-1'!K4:K32873,"=Bildirimsiz",'[7]TABLO-1'!I4:I32873,"=Uzun",'[7]TABLO-1'!D4:D32873,"=MARMARAEREĞLİSİ")/P12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Sebep",'[7]TABLO-1'!K4:K32873,"=Bildirimsiz",'[7]TABLO-1'!I4:I32873,"=Uzun",'[7]TABLO-1'!D4:D32873,"=MARMARAEREĞLİSİ")/P7</f>
        <v>0</v>
      </c>
      <c r="H14" s="10">
        <f>SUMIFS('[7]TABLO-1'!X4:X32873,'[7]TABLO-1'!H4:H32873,"=Dağıtım-AG",'[7]TABLO-1'!J4:J32873,"=Mücbir Sebep",'[7]TABLO-1'!K4:K32873,"=Bildirimsiz",'[7]TABLO-1'!I4:I32873,"=Uzun",'[7]TABLO-1'!D4:D32873,"=MARMARAEREĞLİSİ")/P13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Sebep",'[7]TABLO-1'!K4:K32873,"=Bildirimsiz",'[7]TABLO-1'!I4:I32873,"=Uzun",'[7]TABLO-1'!D4:D32873,"=MARMARAEREĞLİSİ")/P8</f>
        <v>0</v>
      </c>
      <c r="K14" s="10">
        <f>SUMIFS('[7]TABLO-1'!Z4:Z32873,'[7]TABLO-1'!H4:H32873,"=Dağıtım-AG",'[7]TABLO-1'!J4:J32873,"=Mücbir Sebep",'[7]TABLO-1'!K4:K32873,"=Bildirimsiz",'[7]TABLO-1'!I4:I32873,"=Uzun",'[7]TABLO-1'!D4:D32873,"=MARMARAEREĞLİSİ")/P14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978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SUMIFS('[7]TABLO-1'!U4:U32873,'[7]TABLO-1'!H4:H32873,"=Dağıtım-AG",'[7]TABLO-1'!J4:J32873,"=Güvenlik",'[7]TABLO-1'!K4:K32873,"=Bildirimsiz",'[7]TABLO-1'!I4:I32873,"=Uzun",'[7]TABLO-1'!D4:D32873,"=MARMARAEREĞLİSİ")/P6</f>
        <v>0</v>
      </c>
      <c r="E15" s="10">
        <f>SUMIFS('[7]TABLO-1'!V4:V32873,'[7]TABLO-1'!H4:H32873,"=Dağıtım-AG",'[7]TABLO-1'!J4:J32873,"=Güvenlik",'[7]TABLO-1'!K4:K32873,"=Bildirimsiz",'[7]TABLO-1'!I4:I32873,"=Uzun",'[7]TABLO-1'!D4:D32873,"=MARMARAEREĞLİSİ")/P12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SUMIFS('[7]TABLO-1'!W4:W32873,'[7]TABLO-1'!H4:H32873,"=Dağıtım-AG",'[7]TABLO-1'!J4:J32873,"=Güvenlik",'[7]TABLO-1'!K4:K32873,"=Bildirimsiz",'[7]TABLO-1'!I4:I32873,"=Uzun",'[7]TABLO-1'!D4:D32873,"=MARMARAEREĞLİSİ")/P7</f>
        <v>0</v>
      </c>
      <c r="H15" s="10">
        <f>SUMIFS('[7]TABLO-1'!X4:X32873,'[7]TABLO-1'!H4:H32873,"=Dağıtım-AG",'[7]TABLO-1'!J4:J32873,"=Güvenlik",'[7]TABLO-1'!K4:K32873,"=Bildirimsiz",'[7]TABLO-1'!I4:I32873,"=Uzun",'[7]TABLO-1'!D4:D32873,"=MARMARAEREĞLİSİ")/P13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SUMIFS('[7]TABLO-1'!Y4:Y32873,'[7]TABLO-1'!H4:H32873,"=Dağıtım-AG",'[7]TABLO-1'!J4:J32873,"=Güvenlik",'[7]TABLO-1'!K4:K32873,"=Bildirimsiz",'[7]TABLO-1'!I4:I32873,"=Uzun",'[7]TABLO-1'!D4:D32873,"=MARMARAEREĞLİSİ")/P8</f>
        <v>0</v>
      </c>
      <c r="K15" s="10">
        <f>SUMIFS('[7]TABLO-1'!Z4:Z32873,'[7]TABLO-1'!H4:H32873,"=Dağıtım-AG",'[7]TABLO-1'!J4:J32873,"=Güvenlik",'[7]TABLO-1'!K4:K32873,"=Bildirimsiz",'[7]TABLO-1'!I4:I32873,"=Uzun",'[7]TABLO-1'!D4:D32873,"=MARMARAEREĞLİSİ")/P14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50993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44.162820514578087</v>
      </c>
      <c r="E16" s="10">
        <f t="shared" si="4"/>
        <v>104.18017837858795</v>
      </c>
      <c r="F16" s="10">
        <f t="shared" si="4"/>
        <v>104.05896415522491</v>
      </c>
      <c r="G16" s="10">
        <f t="shared" si="4"/>
        <v>52.247897899942473</v>
      </c>
      <c r="H16" s="10">
        <f t="shared" si="4"/>
        <v>74.178036597784114</v>
      </c>
      <c r="I16" s="10">
        <f t="shared" si="4"/>
        <v>74.078399030944439</v>
      </c>
      <c r="J16" s="10">
        <f>SUM(J6:J15)</f>
        <v>5.3447368424875954</v>
      </c>
      <c r="K16" s="10">
        <f>SUM(K6:K15)</f>
        <v>0.54584185413921971</v>
      </c>
      <c r="L16" s="10">
        <f>SUM(L6:L15)</f>
        <v>0.63729521901245856</v>
      </c>
      <c r="M16" s="11">
        <f t="shared" si="4"/>
        <v>87.731331708117935</v>
      </c>
    </row>
    <row r="17" spans="2:16" ht="15" customHeight="1" x14ac:dyDescent="0.25">
      <c r="B17" s="29"/>
      <c r="O17" s="50" t="s">
        <v>37</v>
      </c>
      <c r="P17" s="47">
        <f>P6+P12</f>
        <v>25747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24431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İşletmecisi",'[7]TABLO-1'!K4:K32873,"=Bildirimli",'[7]TABLO-1'!I4:I32873,"=Uzun",'[7]TABLO-1'!D4:D32873,"=MARMARAEREĞLİSİ")/P6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İşletmecisi",'[7]TABLO-1'!K4:K32873,"=Bildirimli",'[7]TABLO-1'!I4:I32873,"=Uzun",'[7]TABLO-1'!D4:D32873,"=MARMARAEREĞLİSİ")/P12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İşletmecisi",'[7]TABLO-1'!K4:K32873,"=Bildirimli",'[7]TABLO-1'!I4:I32873,"=Uzun",'[7]TABLO-1'!D4:D32873,"=MARMARAEREĞLİSİ")/P7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İşletmecisi",'[7]TABLO-1'!K4:K32873,"=Bildirimli",'[7]TABLO-1'!I4:I32873,"=Uzun",'[7]TABLO-1'!D4:D32873,"=MARMARAEREĞLİSİ")/P13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İşletmecisi",'[7]TABLO-1'!K4:K32873,"=Bildirimli",'[7]TABLO-1'!I4:I32873,"=Uzun",'[7]TABLO-1'!D4:D32873,"=MARMARAEREĞLİSİ")/P8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İşletmecisi",'[7]TABLO-1'!K4:K32873,"=Bildirimli",'[7]TABLO-1'!I4:I32873,"=Uzun",'[7]TABLO-1'!D4:D32873,"=MARMARAEREĞLİSİ")/P14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İşletmecisi",'[7]TABLO-1'!K4:K32873,"=Bildirimli",'[7]TABLO-1'!I4:I32873,"=Uzun",'[7]TABLO-1'!D4:D32873,"=MARMARAEREĞLİSİ")/P6</f>
        <v>60.215064103204682</v>
      </c>
      <c r="E22" s="10">
        <f>SUMIFS('[7]TABLO-1'!V4:V32873,'[7]TABLO-1'!H4:H32873,"=Dağıtım-OG",'[7]TABLO-1'!J4:J32873,"=Şebeke İşletmecisi",'[7]TABLO-1'!K4:K32873,"=Bildirimli",'[7]TABLO-1'!I4:I32873,"=Uzun",'[7]TABLO-1'!D4:D32873,"=MARMARAEREĞLİSİ")/P12</f>
        <v>65.981807745318704</v>
      </c>
      <c r="F22" s="10">
        <f t="shared" ref="F22:F25" si="5">IFERROR((((D22*$P$6)+(E22*$P$12))/$P$17),"0,00")</f>
        <v>65.970160925518726</v>
      </c>
      <c r="G22" s="10">
        <f>SUMIFS('[7]TABLO-1'!W4:W32873,'[7]TABLO-1'!H4:H32873,"=Dağıtım-OG",'[7]TABLO-1'!J4:J32873,"=Şebeke İşletmecisi",'[7]TABLO-1'!K4:K32873,"=Bildirimli",'[7]TABLO-1'!I4:I32873,"=Uzun",'[7]TABLO-1'!D4:D32873,"=MARMARAEREĞLİSİ")/P7</f>
        <v>133.20975976159193</v>
      </c>
      <c r="H22" s="10">
        <f>SUMIFS('[7]TABLO-1'!X4:X32873,'[7]TABLO-1'!H4:H32873,"=Dağıtım-OG",'[7]TABLO-1'!J4:J32873,"=Şebeke İşletmecisi",'[7]TABLO-1'!K4:K32873,"=Bildirimli",'[7]TABLO-1'!I4:I32873,"=Uzun",'[7]TABLO-1'!D4:D32873,"=MARMARAEREĞLİSİ")/P13</f>
        <v>138.43764254657603</v>
      </c>
      <c r="I22" s="10">
        <f t="shared" ref="I22:I25" si="6">IFERROR((((G22*$P$7)+(H22*$P$13))/$P$20),"0,00")</f>
        <v>138.41389014228915</v>
      </c>
      <c r="J22" s="10">
        <f>SUMIFS('[7]TABLO-1'!Y4:Y32873,'[7]TABLO-1'!H4:H32873,"=Dağıtım-OG",'[7]TABLO-1'!J4:J32873,"=Şebeke İşletmecisi",'[7]TABLO-1'!K4:K32873,"=Bildirimli",'[7]TABLO-1'!I4:I32873,"=Uzun",'[7]TABLO-1'!D4:D32873,"=MARMARAEREĞLİSİ")/P8</f>
        <v>0.83771929831097003</v>
      </c>
      <c r="K22" s="10">
        <f>SUMIFS('[7]TABLO-1'!Z4:Z32873,'[7]TABLO-1'!H4:H32873,"=Dağıtım-OG",'[7]TABLO-1'!J4:J32873,"=Şebeke İşletmecisi",'[7]TABLO-1'!K4:K32873,"=Bildirimli",'[7]TABLO-1'!I4:I32873,"=Uzun",'[7]TABLO-1'!D4:D32873,"=MARMARAEREĞLİSİ")/P14</f>
        <v>4.6623721882269544</v>
      </c>
      <c r="L22" s="10">
        <f t="shared" ref="L22:L25" si="7">IFERROR((((J22*$P$8)+(K22*$P$14))/$P$23),"0,00")</f>
        <v>4.5894851221202302</v>
      </c>
      <c r="M22" s="11">
        <f t="shared" ref="M22:M25" si="8">IFERROR((((F22*$P$17)+(I22*$P$20)+(L22*$P$23))/$P$26),"0,00")</f>
        <v>99.359046410988768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SUMIFS('[7]TABLO-1'!U4:U32873,'[7]TABLO-1'!H4:H32873,"=Dağıtım-OG",'[7]TABLO-1'!J4:J32873,"=Güvenlik",'[7]TABLO-1'!K4:K32873,"=Bildirimli",'[7]TABLO-1'!I4:I32873,"=Uzun",'[7]TABLO-1'!D4:D32873,"=MARMARAEREĞLİSİ")/P6</f>
        <v>0</v>
      </c>
      <c r="E23" s="10">
        <f>SUMIFS('[7]TABLO-1'!V4:V32873,'[7]TABLO-1'!H4:H32873,"=Dağıtım-OG",'[7]TABLO-1'!J4:J32873,"=Güvenlik",'[7]TABLO-1'!K4:K32873,"=Bildirimli",'[7]TABLO-1'!I4:I32873,"=Uzun",'[7]TABLO-1'!D4:D32873,"=MARMARAEREĞLİSİ")/P12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SUMIFS('[7]TABLO-1'!W4:W32873,'[7]TABLO-1'!H4:H32873,"=Dağıtım-OG",'[7]TABLO-1'!J4:J32873,"=Güvenlik",'[7]TABLO-1'!K4:K32873,"=Bildirimli",'[7]TABLO-1'!I4:I32873,"=Uzun",'[7]TABLO-1'!D4:D32873,"=MARMARAEREĞLİSİ")/P7</f>
        <v>0</v>
      </c>
      <c r="H23" s="10">
        <f>SUMIFS('[7]TABLO-1'!X4:X32873,'[7]TABLO-1'!H4:H32873,"=Dağıtım-OG",'[7]TABLO-1'!J4:J32873,"=Güvenlik",'[7]TABLO-1'!K4:K32873,"=Bildirimli",'[7]TABLO-1'!I4:I32873,"=Uzun",'[7]TABLO-1'!D4:D32873,"=MARMARAEREĞLİSİ")/P13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SUMIFS('[7]TABLO-1'!Y4:Y32873,'[7]TABLO-1'!H4:H32873,"=Dağıtım-OG",'[7]TABLO-1'!J4:J32873,"=Güvenlik",'[7]TABLO-1'!K4:K32873,"=Bildirimli",'[7]TABLO-1'!I4:I32873,"=Uzun",'[7]TABLO-1'!D4:D32873,"=MARMARAEREĞLİSİ")/P8</f>
        <v>0</v>
      </c>
      <c r="K23" s="10">
        <f>SUMIFS('[7]TABLO-1'!Z4:Z32873,'[7]TABLO-1'!H4:H32873,"=Dağıtım-OG",'[7]TABLO-1'!J4:J32873,"=Güvenlik",'[7]TABLO-1'!K4:K32873,"=Bildirimli",'[7]TABLO-1'!I4:I32873,"=Uzun",'[7]TABLO-1'!D4:D32873,"=MARMARAEREĞLİSİ")/P14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997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İşletmecisi",'[7]TABLO-1'!K4:K32873,"=Bildirimli",'[7]TABLO-1'!I4:I32873,"=Uzun",'[7]TABLO-1'!D4:D32873,"=MARMARAEREĞLİSİ")/P6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İşletmecisi",'[7]TABLO-1'!K4:K32873,"=Bildirimli",'[7]TABLO-1'!I4:I32873,"=Uzun",'[7]TABLO-1'!D4:D32873,"=MARMARAEREĞLİSİ")/P12</f>
        <v>0</v>
      </c>
      <c r="F24" s="10">
        <f t="shared" si="5"/>
        <v>0</v>
      </c>
      <c r="G24" s="12">
        <f>SUMIFS('[7]TABLO-1'!W4:W32873,'[7]TABLO-1'!H4:H32873,"=Dağıtım-AG",'[7]TABLO-1'!J4:J32873,"=Şebeke İşletmecisi",'[7]TABLO-1'!K4:K32873,"=Bildirimli",'[7]TABLO-1'!I4:I32873,"=Uzun",'[7]TABLO-1'!D4:D32873,"=MARMARAEREĞLİSİ")/P7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İşletmecisi",'[7]TABLO-1'!K4:K32873,"=Bildirimli",'[7]TABLO-1'!I4:I32873,"=Uzun",'[7]TABLO-1'!D4:D32873,"=MARMARAEREĞLİSİ")/P13</f>
        <v>0.34541940789160053</v>
      </c>
      <c r="I24" s="10">
        <f t="shared" si="6"/>
        <v>0.34385002660242009</v>
      </c>
      <c r="J24" s="12">
        <f>SUMIFS('[7]TABLO-1'!Y4:Y32873,'[7]TABLO-1'!H4:H32873,"=Dağıtım-AG",'[7]TABLO-1'!J4:J32873,"=Şebeke İşletmecisi",'[7]TABLO-1'!K4:K32873,"=Bildirimli",'[7]TABLO-1'!I4:I32873,"=Uzun",'[7]TABLO-1'!D4:D32873,"=MARMARAEREĞLİSİ")/P8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İşletmecisi",'[7]TABLO-1'!K4:K32873,"=Bildirimli",'[7]TABLO-1'!I4:I32873,"=Uzun",'[7]TABLO-1'!D4:D32873,"=MARMARAEREĞLİSİ")/P14</f>
        <v>0</v>
      </c>
      <c r="L24" s="10">
        <f t="shared" si="7"/>
        <v>0</v>
      </c>
      <c r="M24" s="11">
        <f t="shared" si="8"/>
        <v>0.16415437225058574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SUMIFS('[7]TABLO-1'!U4:U32873,'[7]TABLO-1'!H4:H32873,"=Dağıtım-AG",'[7]TABLO-1'!J4:J32873,"=Güvenlik",'[7]TABLO-1'!K4:K32873,"=Bildirimli",'[7]TABLO-1'!I4:I32873,"=Uzun",'[7]TABLO-1'!D4:D32873,"=MARMARAEREĞLİSİ")/P6</f>
        <v>0</v>
      </c>
      <c r="E25" s="10">
        <f>SUMIFS('[7]TABLO-1'!V4:V32873,'[7]TABLO-1'!H4:H32873,"=Dağıtım-AG",'[7]TABLO-1'!J4:J32873,"=Güvenlik",'[7]TABLO-1'!K4:K32873,"=Bildirimli",'[7]TABLO-1'!I4:I32873,"=Uzun",'[7]TABLO-1'!D4:D32873,"=MARMARAEREĞLİSİ")/P12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SUMIFS('[7]TABLO-1'!W4:W32873,'[7]TABLO-1'!H4:H32873,"=Dağıtım-AG",'[7]TABLO-1'!J4:J32873,"=Güvenlik",'[7]TABLO-1'!K4:K32873,"=Bildirimli",'[7]TABLO-1'!I4:I32873,"=Uzun",'[7]TABLO-1'!D4:D32873,"=MARMARAEREĞLİSİ")/P7</f>
        <v>0</v>
      </c>
      <c r="H25" s="10">
        <f>SUMIFS('[7]TABLO-1'!X4:X32873,'[7]TABLO-1'!H4:H32873,"=Dağıtım-AG",'[7]TABLO-1'!J4:J32873,"=Güvenlik",'[7]TABLO-1'!K4:K32873,"=Bildirimli",'[7]TABLO-1'!I4:I32873,"=Uzun",'[7]TABLO-1'!D4:D32873,"=MARMARAEREĞLİSİ")/P13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SUMIFS('[7]TABLO-1'!Y4:Y32873,'[7]TABLO-1'!H4:H32873,"=Dağıtım-AG",'[7]TABLO-1'!J4:J32873,"=Güvenlik",'[7]TABLO-1'!K4:K32873,"=Bildirimli",'[7]TABLO-1'!I4:I32873,"=Uzun",'[7]TABLO-1'!D4:D32873,"=MARMARAEREĞLİSİ")/P8</f>
        <v>0</v>
      </c>
      <c r="K25" s="10">
        <f>SUMIFS('[7]TABLO-1'!Z4:Z32873,'[7]TABLO-1'!H4:H32873,"=Dağıtım-AG",'[7]TABLO-1'!J4:J32873,"=Güvenlik",'[7]TABLO-1'!K4:K32873,"=Bildirimli",'[7]TABLO-1'!I4:I32873,"=Uzun",'[7]TABLO-1'!D4:D32873,"=MARMARAEREĞLİSİ")/P14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60.215064103204682</v>
      </c>
      <c r="E26" s="10">
        <f t="shared" ref="E26:M26" si="9">SUM(E21:E25)</f>
        <v>65.981807745318704</v>
      </c>
      <c r="F26" s="10">
        <f t="shared" si="9"/>
        <v>65.970160925518726</v>
      </c>
      <c r="G26" s="10">
        <f t="shared" si="9"/>
        <v>133.20975976159193</v>
      </c>
      <c r="H26" s="10">
        <f t="shared" si="9"/>
        <v>138.78306195446763</v>
      </c>
      <c r="I26" s="10">
        <f t="shared" si="9"/>
        <v>138.75774016889156</v>
      </c>
      <c r="J26" s="10">
        <f t="shared" si="9"/>
        <v>0.83771929831097003</v>
      </c>
      <c r="K26" s="10">
        <f t="shared" si="9"/>
        <v>4.6623721882269544</v>
      </c>
      <c r="L26" s="10">
        <f t="shared" si="9"/>
        <v>4.5894851221202302</v>
      </c>
      <c r="M26" s="11">
        <f t="shared" si="9"/>
        <v>99.523200783239346</v>
      </c>
      <c r="O26" s="43" t="s">
        <v>22</v>
      </c>
      <c r="P26" s="44">
        <f>P20+P17+P23</f>
        <v>51175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İşletmecisi",'[7]TABLO-1'!K4:K32873,"=Bildirimsiz",'[7]TABLO-1'!I4:I32873,"=Uzun",'[7]TABLO-1'!D4:D32873,"=MARMARAEREĞLİSİ")/P6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İşletmecisi",'[7]TABLO-1'!K4:K32873,"=Bildirimsiz",'[7]TABLO-1'!I4:I32873,"=Uzun",'[7]TABLO-1'!D4:D32873,"=MARMARAEREĞLİSİ")/P12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İşletmecisi",'[7]TABLO-1'!K4:K32873,"=Bildirimsiz",'[7]TABLO-1'!I4:I32873,"=Uzun",'[7]TABLO-1'!D4:D32873,"=MARMARAEREĞLİSİ")/P7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İşletmecisi",'[7]TABLO-1'!K4:K32873,"=Bildirimsiz",'[7]TABLO-1'!I4:I32873,"=Uzun",'[7]TABLO-1'!D4:D32873,"=MARMARAEREĞLİSİ")/P13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İşletmecisi",'[7]TABLO-1'!K4:K32873,"=Bildirimsiz",'[7]TABLO-1'!I4:I32873,"=Uzun",'[7]TABLO-1'!D4:D32873,"=MARMARAEREĞLİSİ")/P8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İşletmecisi",'[7]TABLO-1'!K4:K32873,"=bildirimsiz",'[7]TABLO-1'!I4:I32873,"=Uzun",'[7]TABLO-1'!D4:D32873,"=MARMARAEREĞLİSİ")/P14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Sebep",'[7]TABLO-1'!K4:K32873,"=Bildirimsiz",'[7]TABLO-1'!I4:I32873,"=Uzun",'[7]TABLO-1'!D4:D32873,"=MARMARAEREĞLİSİ")/P6</f>
        <v>0</v>
      </c>
      <c r="E32" s="10">
        <f>SUMIFS('[7]TABLO-1'!P4:P32873,'[7]TABLO-1'!H4:H32873,"=İletim",'[7]TABLO-1'!J4:J32873,"=Mücbir Sebep",'[7]TABLO-1'!K4:K32873,"=Bildirimsiz",'[7]TABLO-1'!I4:I32873,"=Uzun",'[7]TABLO-1'!D4:D32873,"=MARMARAEREĞLİSİ")/P12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Sebep",'[7]TABLO-1'!K4:K32873,"=Bildirimsiz",'[7]TABLO-1'!I4:I32873,"=Uzun",'[7]TABLO-1'!D4:D32873,"=MARMARAEREĞLİSİ")/P7</f>
        <v>0</v>
      </c>
      <c r="H32" s="10">
        <f>SUMIFS('[7]TABLO-1'!R4:R32873,'[7]TABLO-1'!H4:H32873,"=İletim",'[7]TABLO-1'!J4:J32873,"=Mücbir Sebep",'[7]TABLO-1'!K4:K32873,"=Bildirimsiz",'[7]TABLO-1'!I4:I32873,"=Uzun",'[7]TABLO-1'!D4:D32873,"=MARMARAEREĞLİSİ")/P13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Sebep",'[7]TABLO-1'!K4:K32873,"=Bildirimsiz",'[7]TABLO-1'!I4:I32873,"=Uzun",'[7]TABLO-1'!D4:D32873,"=MARMARAEREĞLİSİ")/P8</f>
        <v>0</v>
      </c>
      <c r="K32" s="10">
        <f>SUMIFS('[7]TABLO-1'!T4:T32873,'[7]TABLO-1'!H4:H32873,"=İletim",'[7]TABLO-1'!J4:J32873,"=Mücbir Sebep",'[7]TABLO-1'!K4:K32873,"=bildirimsiz",'[7]TABLO-1'!I4:I32873,"=Uzun",'[7]TABLO-1'!D4:D32873,"=MARMARAEREĞLİSİ")/P14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İşletmecisi",'[7]TABLO-1'!K4:K32873,"=Bildirimsiz",'[7]TABLO-1'!I4:I32873,"=Uzun",'[7]TABLO-1'!D4:D32873,"=MARMARAEREĞLİSİ")/P6</f>
        <v>1.1923076923076923</v>
      </c>
      <c r="E33" s="10">
        <f>SUMIFS('[7]TABLO-1'!P4:P32873,'[7]TABLO-1'!H4:H32873,"=Dağıtım-OG",'[7]TABLO-1'!J4:J32873,"=Şebeke İşletmecisi",'[7]TABLO-1'!K4:K32873,"=Bildirimsiz",'[7]TABLO-1'!I4:I32873,"=Uzun",'[7]TABLO-1'!D4:D32873,"=MARMARAEREĞLİSİ")/P12</f>
        <v>2.1726016734773301</v>
      </c>
      <c r="F33" s="10">
        <f t="shared" si="10"/>
        <v>2.1706218200178662</v>
      </c>
      <c r="G33" s="10">
        <f>SUMIFS('[7]TABLO-1'!Q4:Q32873,'[7]TABLO-1'!H4:H32873,"=Dağıtım-OG",'[7]TABLO-1'!J4:J32873,"=Şebeke İşletmecisi",'[7]TABLO-1'!K4:K32873,"=Bildirimsiz",'[7]TABLO-1'!I4:I32873,"=Uzun",'[7]TABLO-1'!D4:D32873,"=MARMARAEREĞLİSİ")/P7</f>
        <v>0.83783783783783783</v>
      </c>
      <c r="H33" s="10">
        <f>SUMIFS('[7]TABLO-1'!R4:R32873,'[7]TABLO-1'!H4:H32873,"=Dağıtım-OG",'[7]TABLO-1'!J4:J32873,"=Şebeke İşletmecisi",'[7]TABLO-1'!K4:K32873,"=Bildirimsiz",'[7]TABLO-1'!I4:I32873,"=Uzun",'[7]TABLO-1'!D4:D32873,"=MARMARAEREĞLİSİ")/P13</f>
        <v>1.0758223684210526</v>
      </c>
      <c r="I33" s="10">
        <f t="shared" si="11"/>
        <v>1.0747411076091851</v>
      </c>
      <c r="J33" s="10">
        <f>SUMIFS('[7]TABLO-1'!S4:S32873,'[7]TABLO-1'!H4:H32873,"=Dağıtım-OG",'[7]TABLO-1'!J4:J32873,"=Şebeke İşletmecisi",'[7]TABLO-1'!K4:K32873,"=Bildirimsiz",'[7]TABLO-1'!I4:I32873,"=Uzun",'[7]TABLO-1'!D4:D32873,"=MARMARAEREĞLİSİ")/P8</f>
        <v>0.21052631578947367</v>
      </c>
      <c r="K33" s="10">
        <f>SUMIFS('[7]TABLO-1'!T4:T32873,'[7]TABLO-1'!H4:H32873,"=Dağıtım-OG",'[7]TABLO-1'!J4:J32873,"=Şebeke İşletmecisi",'[7]TABLO-1'!K4:K32873,"=bildirimsiz",'[7]TABLO-1'!I4:I32873,"=Uzun",'[7]TABLO-1'!D4:D32873,"=MARMARAEREĞLİSİ")/P14</f>
        <v>1.3292433537832311E-2</v>
      </c>
      <c r="L33" s="10">
        <f t="shared" si="12"/>
        <v>1.7051153460381142E-2</v>
      </c>
      <c r="M33" s="11">
        <f t="shared" si="13"/>
        <v>1.6054909623839766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SUMIFS('[7]TABLO-1'!O4:O32873,'[7]TABLO-1'!H4:H32873,"=Dağıtım-OG",'[7]TABLO-1'!J4:J32873,"=Dışsal",'[7]TABLO-1'!K4:K32873,"=Bildirimsiz",'[7]TABLO-1'!I4:I32873,"=Uzun",'[7]TABLO-1'!D4:D32873,"=MARMARAEREĞLİSİ")/P6</f>
        <v>0</v>
      </c>
      <c r="E34" s="10">
        <f>SUMIFS('[7]TABLO-1'!P4:P32873,'[7]TABLO-1'!H4:H32873,"=Dağıtım-OG",'[7]TABLO-1'!J4:J32873,"=Dışsal",'[7]TABLO-1'!K4:K32873,"=Bildirimsiz",'[7]TABLO-1'!I4:I32873,"=Uzun",'[7]TABLO-1'!D4:D32873,"=MARMARAEREĞLİSİ")/P12</f>
        <v>4.6701692936368942E-4</v>
      </c>
      <c r="F34" s="10">
        <f t="shared" si="10"/>
        <v>4.6607371732629044E-4</v>
      </c>
      <c r="G34" s="10">
        <f>SUMIFS('[7]TABLO-1'!Q4:Q32873,'[7]TABLO-1'!H4:H32873,"=Dağıtım-OG",'[7]TABLO-1'!J4:J32873,"=Dışsal",'[7]TABLO-1'!K4:K32873,"=Bildirimsiz",'[7]TABLO-1'!I4:I32873,"=Uzun",'[7]TABLO-1'!D4:D32873,"=MARMARAEREĞLİSİ")/P7</f>
        <v>9.90990990990991E-2</v>
      </c>
      <c r="H34" s="10">
        <f>SUMIFS('[7]TABLO-1'!R4:R32873,'[7]TABLO-1'!H4:H32873,"=Dağıtım-OG",'[7]TABLO-1'!J4:J32873,"=Dışsal",'[7]TABLO-1'!K4:K32873,"=Bildirimsiz",'[7]TABLO-1'!I4:I32873,"=Uzun",'[7]TABLO-1'!D4:D32873,"=MARMARAEREĞLİSİ")/P13</f>
        <v>0.13791118421052631</v>
      </c>
      <c r="I34" s="10">
        <f t="shared" si="11"/>
        <v>0.13773484507388153</v>
      </c>
      <c r="J34" s="10">
        <f>SUMIFS('[7]TABLO-1'!S4:S32873,'[7]TABLO-1'!H4:H32873,"=Dağıtım-OG",'[7]TABLO-1'!J4:J32873,"=Dışsal",'[7]TABLO-1'!K4:K32873,"=Bildirimsiz",'[7]TABLO-1'!I4:I32873,"=Uzun",'[7]TABLO-1'!D4:D32873,"=MARMARAEREĞLİSİ")/P8</f>
        <v>0</v>
      </c>
      <c r="K34" s="10">
        <f>SUMIFS('[7]TABLO-1'!T4:T32873,'[7]TABLO-1'!H4:H32873,"=Dağıtım-OG",'[7]TABLO-1'!J4:J32873,"=Dışsal",'[7]TABLO-1'!K4:K32873,"=bildirimsiz",'[7]TABLO-1'!I4:I32873,"=Uzun",'[7]TABLO-1'!D4:D32873,"=MARMARAEREĞLİSİ")/P14</f>
        <v>0</v>
      </c>
      <c r="L34" s="10">
        <f t="shared" si="12"/>
        <v>0</v>
      </c>
      <c r="M34" s="11">
        <f t="shared" si="13"/>
        <v>6.5989252564728859E-2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Sebep",'[7]TABLO-1'!K4:K32873,"=Bildirimsiz",'[7]TABLO-1'!I4:I32873,"=Uzun",'[7]TABLO-1'!D4:D32873,"=MARMARAEREĞLİSİ")/P6</f>
        <v>0</v>
      </c>
      <c r="E35" s="10">
        <f>SUMIFS('[7]TABLO-1'!P4:P32873,'[7]TABLO-1'!H4:H32873,"=Dağıtım-OG",'[7]TABLO-1'!J4:J32873,"=Mücbir Sebep",'[7]TABLO-1'!K4:K32873,"=Bildirimsiz",'[7]TABLO-1'!I4:I32873,"=Uzun",'[7]TABLO-1'!D4:D32873,"=MARMARAEREĞLİSİ")/P12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Sebep",'[7]TABLO-1'!K4:K32873,"=Bildirimsiz",'[7]TABLO-1'!I4:I32873,"=Uzun",'[7]TABLO-1'!D4:D32873,"=MARMARAEREĞLİSİ")/P7</f>
        <v>0</v>
      </c>
      <c r="H35" s="10">
        <f>SUMIFS('[7]TABLO-1'!R4:R32873,'[7]TABLO-1'!H4:H32873,"=Dağıtım-OG",'[7]TABLO-1'!J4:J32873,"=Mücbir Sebep",'[7]TABLO-1'!K4:K32873,"=Bildirimsiz",'[7]TABLO-1'!I4:I32873,"=Uzun",'[7]TABLO-1'!D4:D32873,"=MARMARAEREĞLİSİ")/P13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Sebep",'[7]TABLO-1'!K4:K32873,"=Bildirimsiz",'[7]TABLO-1'!I4:I32873,"=Uzun",'[7]TABLO-1'!D4:D32873,"=MARMARAEREĞLİSİ")/P8</f>
        <v>0</v>
      </c>
      <c r="K35" s="10">
        <f>SUMIFS('[7]TABLO-1'!T4:T32873,'[7]TABLO-1'!H4:H32873,"=Dağıtım-OG",'[7]TABLO-1'!J4:J32873,"=Mücbir Sebep",'[7]TABLO-1'!K4:K32873,"=bildirimsiz",'[7]TABLO-1'!I4:I32873,"=Uzun",'[7]TABLO-1'!D4:D32873,"=MARMARAEREĞLİSİ")/P14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SUMIFS('[7]TABLO-1'!O4:O32873,'[7]TABLO-1'!H4:H32873,"=Dağıtım-OG",'[7]TABLO-1'!J4:J32873,"=Güvenlik",'[7]TABLO-1'!K4:K32873,"=Bildirimsiz",'[7]TABLO-1'!I4:I32873,"=Uzun",'[7]TABLO-1'!D4:D32873,"=MARMARAEREĞLİSİ")/P6</f>
        <v>0</v>
      </c>
      <c r="E36" s="10">
        <f>SUMIFS('[7]TABLO-1'!P4:P32873,'[7]TABLO-1'!H4:H32873,"=Dağıtım-OG",'[7]TABLO-1'!J4:J32873,"=Güvenlik",'[7]TABLO-1'!K4:K32873,"=Bildirimsiz",'[7]TABLO-1'!I4:I32873,"=Uzun",'[7]TABLO-1'!D4:D32873,"=MARMARAEREĞLİSİ")/P12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SUMIFS('[7]TABLO-1'!Q4:Q32873,'[7]TABLO-1'!H4:H32873,"=Dağıtım-OG",'[7]TABLO-1'!J4:J32873,"=Güvenlik",'[7]TABLO-1'!K4:K32873,"=Bildirimsiz",'[7]TABLO-1'!I4:I32873,"=Uzun",'[7]TABLO-1'!D4:D32873,"=MARMARAEREĞLİSİ")/P7</f>
        <v>0</v>
      </c>
      <c r="H36" s="10">
        <f>SUMIFS('[7]TABLO-1'!R4:R32873,'[7]TABLO-1'!H4:H32873,"=Dağıtım-OG",'[7]TABLO-1'!J4:J32873,"=Güvenlik",'[7]TABLO-1'!K4:K32873,"=Bildirimsiz",'[7]TABLO-1'!I4:I32873,"=Uzun",'[7]TABLO-1'!D4:D32873,"=MARMARAEREĞLİSİ")/P13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SUMIFS('[7]TABLO-1'!S4:S32873,'[7]TABLO-1'!H4:H32873,"=Dağıtım-OG",'[7]TABLO-1'!J4:J32873,"=Güvenlik",'[7]TABLO-1'!K4:K32873,"=Bildirimsiz",'[7]TABLO-1'!I4:I32873,"=Uzun",'[7]TABLO-1'!D4:D32873,"=MARMARAEREĞLİSİ")/P8</f>
        <v>0</v>
      </c>
      <c r="K36" s="10">
        <f>SUMIFS('[7]TABLO-1'!T4:T32873,'[7]TABLO-1'!H4:H32873,"=Dağıtım-OG",'[7]TABLO-1'!J4:J32873,"=Güvenlik",'[7]TABLO-1'!K4:K32873,"=bildirimsiz",'[7]TABLO-1'!I4:I32873,"=Uzun",'[7]TABLO-1'!D4:D32873,"=MARMARAEREĞLİSİ")/P14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İşletmecisi",'[7]TABLO-1'!K4:K32873,"=Bildirimsiz",'[7]TABLO-1'!I4:I32873,"=Uzun",'[7]TABLO-1'!D4:D32873,"=MARMARAEREĞLİSİ")/P6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İşletmecisi",'[7]TABLO-1'!K4:K32873,"=Bildirimsiz",'[7]TABLO-1'!I4:I32873,"=Uzun",'[7]TABLO-1'!D4:D32873,"=MARMARAEREĞLİSİ")/P12</f>
        <v>0.22097684374391904</v>
      </c>
      <c r="F37" s="10">
        <f t="shared" si="10"/>
        <v>0.2205305472482231</v>
      </c>
      <c r="G37" s="12">
        <f>SUMIFS('[7]TABLO-1'!Q4:Q32873,'[7]TABLO-1'!H4:H32873,"=Dağıtım-AG",'[7]TABLO-1'!J4:J32873,"=Şebeke İşletmecisi",'[7]TABLO-1'!K4:K32873,"=Bildirimsiz",'[7]TABLO-1'!I4:I32873,"=Uzun",'[7]TABLO-1'!D4:D32873,"=MARMARAEREĞLİSİ")/P7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İşletmecisi",'[7]TABLO-1'!K4:K32873,"=Bildirimsiz",'[7]TABLO-1'!I4:I32873,"=Uzun",'[7]TABLO-1'!D4:D32873,"=MARMARAEREĞLİSİ")/P13</f>
        <v>0.12216282894736842</v>
      </c>
      <c r="I37" s="10">
        <f t="shared" si="11"/>
        <v>0.12160779337726658</v>
      </c>
      <c r="J37" s="12">
        <f>SUMIFS('[7]TABLO-1'!S4:S32873,'[7]TABLO-1'!H4:H32873,"=Dağıtım-AG",'[7]TABLO-1'!J4:J32873,"=Şebeke İşletmecisi",'[7]TABLO-1'!K4:K32873,"=Bildirimsiz",'[7]TABLO-1'!I4:I32873,"=Uzun",'[7]TABLO-1'!D4:D32873,"=MARMARAEREĞLİSİ")/P8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İşletmecisi",'[7]TABLO-1'!K4:K32873,"=bildirimsiz",'[7]TABLO-1'!I4:I32873,"=Uzun",'[7]TABLO-1'!D4:D32873,"=MARMARAEREĞLİSİ")/P14</f>
        <v>1.0224948875255625E-3</v>
      </c>
      <c r="L37" s="10">
        <f t="shared" si="12"/>
        <v>1.0030090270812437E-3</v>
      </c>
      <c r="M37" s="11">
        <f t="shared" si="13"/>
        <v>0.16902784562774792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SUMIFS('[7]TABLO-1'!O4:O32873,'[7]TABLO-1'!H4:H32873,"=Dağıtım-AG",'[7]TABLO-1'!J4:J32873,"=Dışsal",'[7]TABLO-1'!K4:K32873,"=Bildirimsiz",'[7]TABLO-1'!I4:I32873,"=Uzun",'[7]TABLO-1'!D4:D32873,"=MARMARAEREĞLİSİ")/P6</f>
        <v>0</v>
      </c>
      <c r="E38" s="10">
        <f>SUMIFS('[7]TABLO-1'!P4:P32873,'[7]TABLO-1'!H4:H32873,"=Dağıtım-AG",'[7]TABLO-1'!J4:J32873,"=Dışsal",'[7]TABLO-1'!K4:K32873,"=Bildirimsiz",'[7]TABLO-1'!I4:I32873,"=Uzun",'[7]TABLO-1'!D4:D32873,"=MARMARAEREĞLİSİ")/P12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SUMIFS('[7]TABLO-1'!Q4:Q32873,'[7]TABLO-1'!H4:H32873,"=Dağıtım-AG",'[7]TABLO-1'!J4:J32873,"=Dışsal",'[7]TABLO-1'!K4:K32873,"=Bildirimsiz",'[7]TABLO-1'!I4:I32873,"=Uzun",'[7]TABLO-1'!D4:D32873,"=MARMARAEREĞLİSİ")/P7</f>
        <v>0</v>
      </c>
      <c r="H38" s="10">
        <f>SUMIFS('[7]TABLO-1'!R4:R32873,'[7]TABLO-1'!H4:H32873,"=Dağıtım-AG",'[7]TABLO-1'!J4:J32873,"=Dışsal",'[7]TABLO-1'!K4:K32873,"=Bildirimsiz",'[7]TABLO-1'!I4:I32873,"=Uzun",'[7]TABLO-1'!D4:D32873,"=MARMARAEREĞLİSİ")/P13</f>
        <v>7.8947368421052634E-3</v>
      </c>
      <c r="I38" s="10">
        <f t="shared" si="11"/>
        <v>7.8588678318529739E-3</v>
      </c>
      <c r="J38" s="12">
        <f>SUMIFS('[7]TABLO-1'!S4:S32873,'[7]TABLO-1'!H4:H32873,"=Dağıtım-AG",'[7]TABLO-1'!J4:J32873,"=Dışsal",'[7]TABLO-1'!K4:K32873,"=Bildirimsiz",'[7]TABLO-1'!I4:I32873,"=Uzun",'[7]TABLO-1'!D4:D32873,"=MARMARAEREĞLİSİ")/P8</f>
        <v>0</v>
      </c>
      <c r="K38" s="10">
        <f>SUMIFS('[7]TABLO-1'!T4:T32873,'[7]TABLO-1'!H4:H32873,"=Dağıtım-AG",'[7]TABLO-1'!J4:J32873,"=Dışsal",'[7]TABLO-1'!K4:K32873,"=bildirimsiz",'[7]TABLO-1'!I4:I32873,"=Uzun",'[7]TABLO-1'!D4:D32873,"=MARMARAEREĞLİSİ")/P14</f>
        <v>0</v>
      </c>
      <c r="L38" s="10">
        <f t="shared" si="12"/>
        <v>0</v>
      </c>
      <c r="M38" s="11">
        <f t="shared" si="13"/>
        <v>3.7518319491939424E-3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Sebep",'[7]TABLO-1'!K4:K32873,"=Bildirimsiz",'[7]TABLO-1'!I4:I32873,"=Uzun",'[7]TABLO-1'!D4:D32873,"=MARMARAEREĞLİSİ")/P6</f>
        <v>0</v>
      </c>
      <c r="E39" s="10">
        <f>SUMIFS('[7]TABLO-1'!P4:P32873,'[7]TABLO-1'!H4:H32873,"=Dağıtım-AG",'[7]TABLO-1'!J4:J32873,"=Mücbir Sebep",'[7]TABLO-1'!K4:K32873,"=Bildirimsiz",'[7]TABLO-1'!I4:I32873,"=Uzun",'[7]TABLO-1'!D4:D32873,"=MARMARAEREĞLİSİ")/P12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Sebep",'[7]TABLO-1'!K4:K32873,"=Bildirimsiz",'[7]TABLO-1'!I4:I32873,"=Uzun",'[7]TABLO-1'!D4:D32873,"=MARMARAEREĞLİSİ")/P7</f>
        <v>0</v>
      </c>
      <c r="H39" s="10">
        <f>SUMIFS('[7]TABLO-1'!R4:R32873,'[7]TABLO-1'!H4:H32873,"=Dağıtım-AG",'[7]TABLO-1'!J4:J32873,"=Mücbir Sebep",'[7]TABLO-1'!K4:K32873,"=Bildirimsiz",'[7]TABLO-1'!I4:I32873,"=Uzun",'[7]TABLO-1'!D4:D32873,"=MARMARAEREĞLİSİ")/P13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Sebep",'[7]TABLO-1'!K4:K32873,"=Bildirimsiz",'[7]TABLO-1'!I4:I32873,"=Uzun",'[7]TABLO-1'!D4:D32873,"=MARMARAEREĞLİSİ")/P8</f>
        <v>0</v>
      </c>
      <c r="K39" s="10">
        <f>SUMIFS('[7]TABLO-1'!T4:T32873,'[7]TABLO-1'!H4:H32873,"=Dağıtım-AG",'[7]TABLO-1'!J4:J32873,"=Mücbir Sebep",'[7]TABLO-1'!K4:K32873,"=bildirimsiz",'[7]TABLO-1'!I4:I32873,"=Uzun",'[7]TABLO-1'!D4:D32873,"=MARMARAEREĞLİSİ")/P14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SUMIFS('[7]TABLO-1'!O4:O32873,'[7]TABLO-1'!H4:H32873,"=Dağıtım-AG",'[7]TABLO-1'!J4:J32873,"=Güvenlik",'[7]TABLO-1'!K4:K32873,"=Bildirimsiz",'[7]TABLO-1'!I4:I32873,"=Uzun",'[7]TABLO-1'!D4:D32873,"=MARMARAEREĞLİSİ")/P6</f>
        <v>0</v>
      </c>
      <c r="E40" s="10">
        <f>SUMIFS('[7]TABLO-1'!P4:P32873,'[7]TABLO-1'!H4:H32873,"=Dağıtım-AG",'[7]TABLO-1'!J4:J32873,"=Güvenlik",'[7]TABLO-1'!K4:K32873,"=Bildirimsiz",'[7]TABLO-1'!I4:I32873,"=Uzun",'[7]TABLO-1'!D4:D32873,"=MARMARAEREĞLİSİ")/P12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SUMIFS('[7]TABLO-1'!Q4:Q32873,'[7]TABLO-1'!H4:H32873,"=Dağıtım-AG",'[7]TABLO-1'!J4:J32873,"=Güvenlik",'[7]TABLO-1'!K4:K32873,"=Bildirimsiz",'[7]TABLO-1'!I4:I32873,"=Uzun",'[7]TABLO-1'!D4:D32873,"=MARMARAEREĞLİSİ")/P7</f>
        <v>0</v>
      </c>
      <c r="H40" s="10">
        <f>SUMIFS('[7]TABLO-1'!R4:R32873,'[7]TABLO-1'!H4:H32873,"=Dağıtım-AG",'[7]TABLO-1'!J4:J32873,"=Güvenlik",'[7]TABLO-1'!K4:K32873,"=Bildirimsiz",'[7]TABLO-1'!I4:I32873,"=Uzun",'[7]TABLO-1'!D4:D32873,"=MARMARAEREĞLİSİ")/P13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SUMIFS('[7]TABLO-1'!S4:S32873,'[7]TABLO-1'!H4:H32873,"=Dağıtım-AG",'[7]TABLO-1'!J4:J32873,"=Güvenlik",'[7]TABLO-1'!K4:K32873,"=Bildirimsiz",'[7]TABLO-1'!I4:I32873,"=Uzun",'[7]TABLO-1'!D4:D32873,"=MARMARAEREĞLİSİ")/P8</f>
        <v>0</v>
      </c>
      <c r="K40" s="10">
        <f>SUMIFS('[7]TABLO-1'!T4:T32873,'[7]TABLO-1'!H4:H32873,"=Dağıtım-AG",'[7]TABLO-1'!J4:J32873,"=Güvenlik",'[7]TABLO-1'!K4:K32873,"=bildirimsiz",'[7]TABLO-1'!I4:I32873,"=Uzun",'[7]TABLO-1'!D4:D32873,"=MARMARAEREĞLİSİ")/P14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1.1923076923076923</v>
      </c>
      <c r="E41" s="10">
        <f t="shared" ref="E41:M41" si="14">SUM(E31:E40)</f>
        <v>2.3940455341506128</v>
      </c>
      <c r="F41" s="10">
        <f t="shared" si="14"/>
        <v>2.3916184409834158</v>
      </c>
      <c r="G41" s="10">
        <f t="shared" si="14"/>
        <v>0.93693693693693691</v>
      </c>
      <c r="H41" s="10">
        <f t="shared" si="14"/>
        <v>1.3437911184210525</v>
      </c>
      <c r="I41" s="10">
        <f t="shared" si="14"/>
        <v>1.3419426138921862</v>
      </c>
      <c r="J41" s="10">
        <f t="shared" si="14"/>
        <v>0.21052631578947367</v>
      </c>
      <c r="K41" s="10">
        <f t="shared" si="14"/>
        <v>1.4314928425357873E-2</v>
      </c>
      <c r="L41" s="10">
        <f t="shared" si="14"/>
        <v>1.8054162487462385E-2</v>
      </c>
      <c r="M41" s="10">
        <f t="shared" si="14"/>
        <v>1.8442598925256473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İşletmecisi",'[7]TABLO-1'!K4:K32873,"=Bildirimli",'[7]TABLO-1'!I4:I32873,"=Uzun",'[7]TABLO-1'!D4:D32873,"=MARMARAEREĞLİSİ")/P6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İşletmecisi",'[7]TABLO-1'!K4:K32873,"=Bildirimli",'[7]TABLO-1'!I4:I32873,"=Uzun",'[7]TABLO-1'!D4:D32873,"=MARMARAEREĞLİSİ")/P12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İşletmecisi",'[7]TABLO-1'!K4:K32873,"=Bildirimli",'[7]TABLO-1'!I4:I32873,"=Uzun",'[7]TABLO-1'!D4:D32873,"=MARMARAEREĞLİSİ")/P7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İşletmecisi",'[7]TABLO-1'!K4:K32873,"=Bildirimli",'[7]TABLO-1'!I4:I32873,"=Uzun",'[7]TABLO-1'!D4:D32873,"=MARMARAEREĞLİSİ")/P13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İşletmecisi",'[7]TABLO-1'!K4:K32873,"=Bildirimli",'[7]TABLO-1'!I4:I32873,"=Uzun",'[7]TABLO-1'!D4:D32873,"=MARMARAEREĞLİSİ")/P8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İşletmecisi",'[7]TABLO-1'!K4:K32873,"=bildirimli",'[7]TABLO-1'!I4:I32873,"=Uzun",'[7]TABLO-1'!D4:D32873,"=MARMARAEREĞLİSİ")/P14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İşletmecisi",'[7]TABLO-1'!K4:K32873,"=Bildirimli",'[7]TABLO-1'!I4:I32873,"=Uzun",'[7]TABLO-1'!D4:D32873,"=MARMARAEREĞLİSİ")/P6</f>
        <v>1.2115384615384615</v>
      </c>
      <c r="E47" s="10">
        <f>SUMIFS('[7]TABLO-1'!P4:P32873,'[7]TABLO-1'!H4:H32873,"=Dağıtım-OG",'[7]TABLO-1'!J4:J32873,"=Şebeke İşletmecisi",'[7]TABLO-1'!K4:K32873,"=Bildirimli",'[7]TABLO-1'!I4:I32873,"=Uzun",'[7]TABLO-1'!D4:D32873,"=MARMARAEREĞLİSİ")/P12</f>
        <v>1.1464487254329636</v>
      </c>
      <c r="F47" s="10">
        <f t="shared" ref="F47:F50" si="15">IFERROR((((D47*$P$6)+(E47*$P$12))/$P$17),"0,00")</f>
        <v>1.1465801840991183</v>
      </c>
      <c r="G47" s="10">
        <f>SUMIFS('[7]TABLO-1'!Q4:Q32873,'[7]TABLO-1'!H4:H32873,"=Dağıtım-OG",'[7]TABLO-1'!J4:J32873,"=Şebeke İşletmecisi",'[7]TABLO-1'!K4:K32873,"=Bildirimli",'[7]TABLO-1'!I4:I32873,"=Uzun",'[7]TABLO-1'!D4:D32873,"=MARMARAEREĞLİSİ")/P7</f>
        <v>3.6306306306306309</v>
      </c>
      <c r="H47" s="10">
        <f>SUMIFS('[7]TABLO-1'!R4:R32873,'[7]TABLO-1'!H4:H32873,"=Dağıtım-OG",'[7]TABLO-1'!J4:J32873,"=Şebeke İşletmecisi",'[7]TABLO-1'!K4:K32873,"=Bildirimli",'[7]TABLO-1'!I4:I32873,"=Uzun",'[7]TABLO-1'!D4:D32873,"=MARMARAEREĞLİSİ")/P13</f>
        <v>3.5705180921052633</v>
      </c>
      <c r="I47" s="10">
        <f t="shared" ref="I47:I50" si="16">IFERROR((((G47*$P$7)+(H47*$P$13))/$P$20),"0,00")</f>
        <v>3.5707912078916131</v>
      </c>
      <c r="J47" s="10">
        <f>SUMIFS('[7]TABLO-1'!S4:S32873,'[7]TABLO-1'!H4:H32873,"=Dağıtım-OG",'[7]TABLO-1'!J4:J32873,"=Şebeke İşletmecisi",'[7]TABLO-1'!K4:K32873,"=Bildirimli",'[7]TABLO-1'!I4:I32873,"=Uzun",'[7]TABLO-1'!D4:D32873,"=MARMARAEREĞLİSİ")/P8</f>
        <v>5.2631578947368418E-2</v>
      </c>
      <c r="K47" s="10">
        <f>SUMIFS('[7]TABLO-1'!T4:T32873,'[7]TABLO-1'!H4:H32873,"=Dağıtım-OG",'[7]TABLO-1'!J4:J32873,"=Şebeke İşletmecisi",'[7]TABLO-1'!K4:K32873,"=bildirimli",'[7]TABLO-1'!I4:I32873,"=Uzun",'[7]TABLO-1'!D4:D32873,"=MARMARAEREĞLİSİ")/P14</f>
        <v>0.11349693251533742</v>
      </c>
      <c r="L47" s="10">
        <f t="shared" ref="L47:L50" si="17">IFERROR((((J47*$P$8)+(K47*$P$14))/$P$23),"0,00")</f>
        <v>0.1123370110330993</v>
      </c>
      <c r="M47" s="11">
        <f t="shared" ref="M47:M50" si="18">IFERROR((((F47*$P$17)+(I47*$P$20)+(L47*$P$23))/$P$26),"0,00")</f>
        <v>2.2837518319491941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SUMIFS('[7]TABLO-1'!O4:O32873,'[7]TABLO-1'!H4:H32873,"=Dağıtım-OG",'[7]TABLO-1'!J4:J32873,"=Güvenlik",'[7]TABLO-1'!K4:K32873,"=Bildirimli",'[7]TABLO-1'!I4:I32873,"=Uzun",'[7]TABLO-1'!D4:D32873,"=MARMARAEREĞLİSİ")/P6</f>
        <v>0</v>
      </c>
      <c r="E48" s="10">
        <f>SUMIFS('[7]TABLO-1'!P4:P32873,'[7]TABLO-1'!H4:H32873,"=Dağıtım-OG",'[7]TABLO-1'!J4:J32873,"=Güvenlik",'[7]TABLO-1'!K4:K32873,"=Bildirimli",'[7]TABLO-1'!I4:I32873,"=Uzun",'[7]TABLO-1'!D4:D32873,"=MARMARAEREĞLİSİ")/P12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SUMIFS('[7]TABLO-1'!Q4:Q32873,'[7]TABLO-1'!H4:H32873,"=Dağıtım-OG",'[7]TABLO-1'!J4:J32873,"=Güvenlik",'[7]TABLO-1'!K4:K32873,"=Bildirimli",'[7]TABLO-1'!I4:I32873,"=Uzun",'[7]TABLO-1'!D4:D32873,"=MARMARAEREĞLİSİ")/P7</f>
        <v>0</v>
      </c>
      <c r="H48" s="10">
        <f>SUMIFS('[7]TABLO-1'!R4:R32873,'[7]TABLO-1'!H4:H32873,"=Dağıtım-OG",'[7]TABLO-1'!J4:J32873,"=Güvenlik",'[7]TABLO-1'!K4:K32873,"=Bildirimli",'[7]TABLO-1'!I4:I32873,"=Uzun",'[7]TABLO-1'!D4:D32873,"=MARMARAEREĞLİSİ")/P13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SUMIFS('[7]TABLO-1'!S4:S32873,'[7]TABLO-1'!H4:H32873,"=Dağıtım-OG",'[7]TABLO-1'!J4:J32873,"=Güvenlik",'[7]TABLO-1'!K4:K32873,"=Bildirimli",'[7]TABLO-1'!I4:I32873,"=Uzun",'[7]TABLO-1'!D4:D32873,"=MARMARAEREĞLİSİ")/P8</f>
        <v>0</v>
      </c>
      <c r="K48" s="10">
        <f>SUMIFS('[7]TABLO-1'!T4:T32873,'[7]TABLO-1'!H4:H32873,"=Dağıtım-OG",'[7]TABLO-1'!J4:J32873,"=Güvenlik",'[7]TABLO-1'!K4:K32873,"=bildirimli",'[7]TABLO-1'!I4:I32873,"=Uzun",'[7]TABLO-1'!D4:D32873,"=MARMARAEREĞLİSİ")/P14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İşletmecisi",'[7]TABLO-1'!K4:K32873,"=Bildirimli",'[7]TABLO-1'!I4:I32873,"=Uzun",'[7]TABLO-1'!D4:D32873,"=MARMARAEREĞLİSİ")/P6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İşletmecisi",'[7]TABLO-1'!K4:K32873,"=Bildirimli",'[7]TABLO-1'!I4:I32873,"=Uzun",'[7]TABLO-1'!D4:D32873,"=MARMARAEREĞLİSİ")/P12</f>
        <v>0</v>
      </c>
      <c r="F49" s="10">
        <f t="shared" si="15"/>
        <v>0</v>
      </c>
      <c r="G49" s="12">
        <f>SUMIFS('[7]TABLO-1'!Q4:Q32873,'[7]TABLO-1'!H4:H32873,"=Dağıtım-AG",'[7]TABLO-1'!J4:J32873,"=Şebeke İşletmecisi",'[7]TABLO-1'!K4:K32873,"=Bildirimli",'[7]TABLO-1'!I4:I32873,"=Uzun",'[7]TABLO-1'!D4:D32873,"=MARMARAEREĞLİSİ")/P7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İşletmecisi",'[7]TABLO-1'!K4:K32873,"=Bildirimli",'[7]TABLO-1'!I4:I32873,"=Uzun",'[7]TABLO-1'!D4:D32873,"=MARMARAEREĞLİSİ")/P13</f>
        <v>4.8108552631578949E-3</v>
      </c>
      <c r="I49" s="10">
        <f t="shared" si="16"/>
        <v>4.7889975850354061E-3</v>
      </c>
      <c r="J49" s="12">
        <f>SUMIFS('[7]TABLO-1'!S4:S32873,'[7]TABLO-1'!H4:H32873,"=Dağıtım-AG",'[7]TABLO-1'!J4:J32873,"=Şebeke İşletmecisi",'[7]TABLO-1'!K4:K32873,"=Bildirimli",'[7]TABLO-1'!I4:I32873,"=Uzun",'[7]TABLO-1'!D4:D32873,"=MARMARAEREĞLİSİ")/P8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İşletmecisi",'[7]TABLO-1'!K4:K32873,"=bildirimli",'[7]TABLO-1'!I4:I32873,"=Uzun",'[7]TABLO-1'!D4:D32873,"=MARMARAEREĞLİSİ")/P14</f>
        <v>0</v>
      </c>
      <c r="L49" s="10">
        <f t="shared" si="17"/>
        <v>0</v>
      </c>
      <c r="M49" s="11">
        <f t="shared" si="18"/>
        <v>2.2862725940400587E-3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SUMIFS('[7]TABLO-1'!O4:O32873,'[7]TABLO-1'!H4:H32873,"=Dağıtım-AG",'[7]TABLO-1'!J4:J32873,"=Güvenlik",'[7]TABLO-1'!K4:K32873,"=Bildirimli",'[7]TABLO-1'!I4:I32873,"=Uzun",'[7]TABLO-1'!D4:D32873,"=MARMARAEREĞLİSİ")/P6</f>
        <v>0</v>
      </c>
      <c r="E50" s="10">
        <f>SUMIFS('[7]TABLO-1'!P4:P32873,'[7]TABLO-1'!H4:H32873,"=Dağıtım-AG",'[7]TABLO-1'!J4:J32873,"=Güvenlik",'[7]TABLO-1'!K4:K32873,"=Bildirimli",'[7]TABLO-1'!I4:I32873,"=Uzun",'[7]TABLO-1'!D4:D32873,"=MARMARAEREĞLİSİ")/P12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SUMIFS('[7]TABLO-1'!Q4:Q32873,'[7]TABLO-1'!H4:H32873,"=Dağıtım-AG",'[7]TABLO-1'!J4:J32873,"=Güvenlik",'[7]TABLO-1'!K4:K32873,"=Bildirimli",'[7]TABLO-1'!I4:I32873,"=Uzun",'[7]TABLO-1'!D4:D32873,"=MARMARAEREĞLİSİ")/P7</f>
        <v>0</v>
      </c>
      <c r="H50" s="10">
        <f>SUMIFS('[7]TABLO-1'!R4:R32873,'[7]TABLO-1'!H4:H32873,"=Dağıtım-AG",'[7]TABLO-1'!J4:J32873,"=Güvenlik",'[7]TABLO-1'!K4:K32873,"=Bildirimli",'[7]TABLO-1'!I4:I32873,"=Uzun",'[7]TABLO-1'!D4:D32873,"=MARMARAEREĞLİSİ")/P13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SUMIFS('[7]TABLO-1'!S4:S32873,'[7]TABLO-1'!H4:H32873,"=Dağıtım-AG",'[7]TABLO-1'!J4:J32873,"=Güvenlik",'[7]TABLO-1'!K4:K32873,"=Bildirimli",'[7]TABLO-1'!I4:I32873,"=Uzun",'[7]TABLO-1'!D4:D32873,"=MARMARAEREĞLİSİ")/P8</f>
        <v>0</v>
      </c>
      <c r="K50" s="10">
        <f>SUMIFS('[7]TABLO-1'!T4:T32873,'[7]TABLO-1'!H4:H32873,"=Dağıtım-AG",'[7]TABLO-1'!J4:J32873,"=Güvenlik",'[7]TABLO-1'!K4:K32873,"=bildirimli",'[7]TABLO-1'!I4:I32873,"=Uzun",'[7]TABLO-1'!D4:D32873,"=MARMARAEREĞLİSİ")/P14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1.2115384615384615</v>
      </c>
      <c r="E51" s="10">
        <f t="shared" ref="E51:M51" si="19">SUM(E46:E50)</f>
        <v>1.1464487254329636</v>
      </c>
      <c r="F51" s="10">
        <f t="shared" si="19"/>
        <v>1.1465801840991183</v>
      </c>
      <c r="G51" s="10">
        <f t="shared" si="19"/>
        <v>3.6306306306306309</v>
      </c>
      <c r="H51" s="10">
        <f t="shared" si="19"/>
        <v>3.5753289473684213</v>
      </c>
      <c r="I51" s="10">
        <f t="shared" si="19"/>
        <v>3.5755802054766486</v>
      </c>
      <c r="J51" s="10">
        <f t="shared" si="19"/>
        <v>5.2631578947368418E-2</v>
      </c>
      <c r="K51" s="10">
        <f t="shared" si="19"/>
        <v>0.11349693251533742</v>
      </c>
      <c r="L51" s="10">
        <f t="shared" si="19"/>
        <v>0.1123370110330993</v>
      </c>
      <c r="M51" s="10">
        <f t="shared" si="19"/>
        <v>2.2860381045432341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SUMIFS('[7]TABLO-1'!O1:O32873,'[7]TABLO-1'!H1:H32873,"=İletim",'[7]TABLO-1'!K1:K32873,"=Bildirimsiz",'[7]TABLO-1'!I1:I32873,"=Kısa",'[7]TABLO-1'!D1:D32873,"=MARMARAEREĞLİSİ")/P6</f>
        <v>0</v>
      </c>
      <c r="D56" s="10">
        <f>SUMIFS('[7]TABLO-1'!P1:P32873,'[7]TABLO-1'!H1:H32873,"=İletim",'[7]TABLO-1'!K1:K32873,"=Bildirimsiz",'[7]TABLO-1'!I1:I32873,"=Kısa",'[7]TABLO-1'!D1:D32873,"=MARMARAEREĞLİSİ")/P12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SUMIFS('[7]TABLO-1'!Q1:Q32873,'[7]TABLO-1'!H1:H32873,"=İletim",'[7]TABLO-1'!K1:K32873,"=Bildirimsiz",'[7]TABLO-1'!I1:I32873,"=Kısa",'[7]TABLO-1'!D1:D32873,"=MARMARAEREĞLİSİ")/P7</f>
        <v>0</v>
      </c>
      <c r="G56" s="10">
        <f>SUMIFS('[7]TABLO-1'!R1:R32873,'[7]TABLO-1'!H1:H32873,"=İletim",'[7]TABLO-1'!K1:K32873,"=Bildirimsiz",'[7]TABLO-1'!I1:I32873,"=Kısa",'[7]TABLO-1'!D1:D32873,"=MARMARAEREĞLİSİ")/P13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SUMIFS('[7]TABLO-1'!S1:S32873,'[7]TABLO-1'!H1:H32873,"=İletim",'[7]TABLO-1'!K1:K32873,"=Bildirimsiz",'[7]TABLO-1'!I1:I32873,"=Kısa",'[7]TABLO-1'!D1:D32873,"=MARMARAEREĞLİSİ")/P8</f>
        <v>0</v>
      </c>
      <c r="J56" s="10">
        <f>SUMIFS('[7]TABLO-1'!T1:T32873,'[7]TABLO-1'!H1:H32873,"=İletim",'[7]TABLO-1'!K1:K32873,"=Bildirimsiz",'[7]TABLO-1'!I1:I32873,"=Kısa",'[7]TABLO-1'!D1:D32873,"=MARMARAEREĞLİSİ")/P14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SUMIFS('[7]TABLO-1'!O4:O32873,'[7]TABLO-1'!H4:H32873,"=Dağıtım-OG",'[7]TABLO-1'!K4:K32873,"=Bildirimsiz",'[7]TABLO-1'!I4:I32873,"=Kısa",'[7]TABLO-1'!D4:D32873,"=MARMARAEREĞLİSİ")/P6</f>
        <v>0</v>
      </c>
      <c r="D57" s="10">
        <f>SUMIFS('[7]TABLO-1'!P4:P32873,'[7]TABLO-1'!H4:H32873,"=Dağıtım-OG",'[7]TABLO-1'!K4:K32873,"=Bildirimsiz",'[7]TABLO-1'!I4:I32873,"=Kısa",'[7]TABLO-1'!D4:D32873,"=MARMARAEREĞLİSİ")/P12</f>
        <v>0</v>
      </c>
      <c r="E57" s="10">
        <f>IFERROR((((C57*$P$6)+(D57*$P$12))/$P$17),"0,00")</f>
        <v>0</v>
      </c>
      <c r="F57" s="10">
        <f>SUMIFS('[7]TABLO-1'!Q4:Q32873,'[7]TABLO-1'!H4:H32873,"=Dağıtım-OG",'[7]TABLO-1'!K4:K32873,"=Bildirimsiz",'[7]TABLO-1'!I4:I32873,"=Kısa",'[7]TABLO-1'!D4:D32873,"=MARMARAEREĞLİSİ")/P7</f>
        <v>0</v>
      </c>
      <c r="G57" s="10">
        <f>SUMIFS('[7]TABLO-1'!R4:R32873,'[7]TABLO-1'!H4:H32873,"=Dağıtım-OG",'[7]TABLO-1'!K4:K32873,"=Bildirimsiz",'[7]TABLO-1'!I4:I32873,"=Kısa",'[7]TABLO-1'!D4:D32873,"=MARMARAEREĞLİSİ")/P13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SUMIFS('[7]TABLO-1'!S4:S32873,'[7]TABLO-1'!H4:H32873,"=Dağıtım-OG",'[7]TABLO-1'!K4:K32873,"=Bildirimsiz",'[7]TABLO-1'!I4:I32873,"=Kısa",'[7]TABLO-1'!D4:D32873,"=MARMARAEREĞLİSİ")/P8</f>
        <v>0</v>
      </c>
      <c r="J57" s="10">
        <f>SUMIFS('[7]TABLO-1'!T4:T32873,'[7]TABLO-1'!H4:H32873,"=Dağıtım-OG",'[7]TABLO-1'!K4:K32873,"=Bildirimsiz",'[7]TABLO-1'!I4:I32873,"=Kısa",'[7]TABLO-1'!D4:D32873,"=MARMARAEREĞLİSİ")/P14</f>
        <v>0</v>
      </c>
      <c r="K57" s="10">
        <f>IFERROR((((I57*$P$8)+(J57*$P$14))/$P$23),"0,00")</f>
        <v>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SUMIFS('[7]TABLO-1'!O4:O32873,'[7]TABLO-1'!H4:H32873,"=Dağıtım-AG",'[7]TABLO-1'!K4:K32873,"=Bildirimsiz",'[7]TABLO-1'!I4:I32873,"=Kısa",'[7]TABLO-1'!D4:D32873,"=MARMARAEREĞLİSİ")/P6</f>
        <v>0</v>
      </c>
      <c r="D58" s="10">
        <f>SUMIFS('[7]TABLO-1'!P4:P32873,'[7]TABLO-1'!H4:H32873,"=Dağıtım-AG",'[7]TABLO-1'!K4:K32873,"=Bildirimsiz",'[7]TABLO-1'!I4:I32873,"=Kısa",'[7]TABLO-1'!D4:D32873,"=MARMARAEREĞLİSİ")/P12</f>
        <v>2.0237400272426543E-3</v>
      </c>
      <c r="E58" s="10">
        <f>IFERROR((((C58*$P$6)+(D58*$P$12))/$P$17),"0,00")</f>
        <v>2.019652775080592E-3</v>
      </c>
      <c r="F58" s="10">
        <f>SUMIFS('[7]TABLO-1'!Q4:Q32873,'[7]TABLO-1'!H4:H32873,"=Dağıtım-AG",'[7]TABLO-1'!K4:K32873,"=Bildirimsiz",'[7]TABLO-1'!I4:I32873,"=Kısa",'[7]TABLO-1'!D4:D32873,"=MARMARAEREĞLİSİ")/P7</f>
        <v>0</v>
      </c>
      <c r="G58" s="10">
        <f>SUMIFS('[7]TABLO-1'!R4:R32873,'[7]TABLO-1'!H4:H32873,"=Dağıtım-AG",'[7]TABLO-1'!K4:K32873,"=Bildirimsiz",'[7]TABLO-1'!I4:I32873,"=Kısa",'[7]TABLO-1'!D4:D32873,"=MARMARAEREĞLİSİ")/P13</f>
        <v>1.0485197368421052E-2</v>
      </c>
      <c r="H58" s="10">
        <f>IFERROR((((F58*$P$7)+(G58*$P$13))/$P$20),"0,00")</f>
        <v>1.043755883917973E-2</v>
      </c>
      <c r="I58" s="10">
        <f>SUMIFS('[7]TABLO-1'!S4:S32873,'[7]TABLO-1'!H4:H32873,"=Dağıtım-AG",'[7]TABLO-1'!K4:K32873,"=Bildirimsiz",'[7]TABLO-1'!I4:I32873,"=Kısa",'[7]TABLO-1'!D4:D32873,"=MARMARAEREĞLİSİ")/P8</f>
        <v>0</v>
      </c>
      <c r="J58" s="10">
        <f>SUMIFS('[7]TABLO-1'!T4:T32873,'[7]TABLO-1'!H4:H32873,"=Dağıtım-AG",'[7]TABLO-1'!K4:K32873,"=Bildirimsiz",'[7]TABLO-1'!I4:I32873,"=Kısa",'[7]TABLO-1'!D4:D32873,"=MARMARAEREĞLİSİ")/P14</f>
        <v>0</v>
      </c>
      <c r="K58" s="10">
        <f>IFERROR((((I58*$P$8)+(J58*$P$14))/$P$23),"0,00")</f>
        <v>0</v>
      </c>
      <c r="L58" s="11">
        <f>IFERROR((((E58*$P$17)+(H58*$P$20)+(K58*$P$23))/$P$26),"0,00")</f>
        <v>5.9990229604298976E-3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2.0237400272426543E-3</v>
      </c>
      <c r="E59" s="10">
        <f t="shared" si="20"/>
        <v>2.019652775080592E-3</v>
      </c>
      <c r="F59" s="10">
        <f t="shared" si="20"/>
        <v>0</v>
      </c>
      <c r="G59" s="10">
        <f t="shared" si="20"/>
        <v>1.0485197368421052E-2</v>
      </c>
      <c r="H59" s="10">
        <f t="shared" si="20"/>
        <v>1.043755883917973E-2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5.9990229604298976E-3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52</v>
      </c>
      <c r="D65" s="27">
        <f>P12</f>
        <v>25695</v>
      </c>
      <c r="E65" s="17">
        <f>C65+D65</f>
        <v>25747</v>
      </c>
      <c r="F65" s="17">
        <f>P7</f>
        <v>111</v>
      </c>
      <c r="G65" s="27">
        <f>P13</f>
        <v>24320</v>
      </c>
      <c r="H65" s="17">
        <f>SUM(F65:G65)</f>
        <v>24431</v>
      </c>
      <c r="I65" s="17">
        <f>P8</f>
        <v>19</v>
      </c>
      <c r="J65" s="27">
        <f>P14</f>
        <v>978</v>
      </c>
      <c r="K65" s="17">
        <f>SUM(I65:J65)</f>
        <v>997</v>
      </c>
      <c r="L65" s="17">
        <f>H65+E65+K65</f>
        <v>51175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Q71"/>
  <sheetViews>
    <sheetView zoomScale="70" zoomScaleNormal="70" workbookViewId="0">
      <selection activeCell="P31" sqref="P3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İşletmecisi",'[7]TABLO-1'!K4:K32873,"=Bildirimsiz",'[7]TABLO-1'!I4:I32873,"=Uzun",'[7]TABLO-1'!D4:D32873,"=ŞARKÖY")/P6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İşletmecisi",'[7]TABLO-1'!K4:K32873,"=Bildirimsiz",'[7]TABLO-1'!I4:I32873,"=Uzun",'[7]TABLO-1'!D4:D32873,"=ŞARKÖY")/P12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İşletmecisi",'[7]TABLO-1'!K4:K32873,"=Bildirimsiz",'[7]TABLO-1'!I4:I32873,"=Uzun",'[7]TABLO-1'!D4:D32873,"=ŞARKÖY")/P7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İşletmecisi",'[7]TABLO-1'!K4:K32873,"=Bildirimsiz",'[7]TABLO-1'!I4:I32873,"=Uzun",'[7]TABLO-1'!D4:D32873,"=ŞARKÖY")/P13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İşletmecisi",'[7]TABLO-1'!K4:K32873,"=Bildirimsiz",'[7]TABLO-1'!I4:I32873,"=Uzun",'[7]TABLO-1'!D4:D32873,"=ŞARKÖY")/P8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İşletmecisi",'[7]TABLO-1'!K4:K32873,"=Bildirimsiz",'[7]TABLO-1'!I4:I32873,"=Uzun",'[7]TABLO-1'!D4:D32873,"=ŞARKÖY")/P14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2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Sebep",'[7]TABLO-1'!K4:K32873,"=Bildirimsiz",'[7]TABLO-1'!I4:I32873,"=Uzun",'[7]TABLO-1'!D4:D32873,"=ŞARKÖY")/P6</f>
        <v>0</v>
      </c>
      <c r="E7" s="10">
        <f>SUMIFS('[7]TABLO-1'!V4:V32873,'[7]TABLO-1'!H4:H32873,"=İletim",'[7]TABLO-1'!J4:J32873,"=Mücbir Sebep",'[7]TABLO-1'!K4:K32873,"=Bildirimsiz",'[7]TABLO-1'!I4:I32873,"=Uzun",'[7]TABLO-1'!D4:D32873,"=ŞARKÖY")/P12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Sebep",'[7]TABLO-1'!K4:K32873,"=Bildirimsiz",'[7]TABLO-1'!I4:I32873,"=Uzun",'[7]TABLO-1'!D4:D32873,"=ŞARKÖY")/P7</f>
        <v>0</v>
      </c>
      <c r="H7" s="10">
        <f>SUMIFS('[7]TABLO-1'!X4:X32873,'[7]TABLO-1'!H4:H32873,"=İletim",'[7]TABLO-1'!J4:J32873,"=Mücbir Sebep",'[7]TABLO-1'!K4:K32873,"=Bildirimsiz",'[7]TABLO-1'!I4:I32873,"=Uzun",'[7]TABLO-1'!D4:D32873,"=ŞARKÖY")/P13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Sebep",'[7]TABLO-1'!K4:K32873,"=Bildirimsiz",'[7]TABLO-1'!I4:I32873,"=Uzun",'[7]TABLO-1'!D4:D32873,"=ŞARKÖY")/P8</f>
        <v>0</v>
      </c>
      <c r="K7" s="10">
        <f>SUMIFS('[7]TABLO-1'!Z4:Z32873,'[7]TABLO-1'!H4:H32873,"=İletim",'[7]TABLO-1'!J4:J32873,"=Mücbir Sebep",'[7]TABLO-1'!K4:K32873,"=Bildirimsiz",'[7]TABLO-1'!I4:I32873,"=Uzun",'[7]TABLO-1'!D4:D32873,"=ŞARKÖY")/P14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47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İşletmecisi",'[7]TABLO-1'!K4:K32873,"=Bildirimsiz",'[7]TABLO-1'!I4:I32873,"=Uzun",'[7]TABLO-1'!D4:D32873,"=ŞARKÖY")/P6</f>
        <v>212.8583333134884</v>
      </c>
      <c r="E8" s="10">
        <f>SUMIFS('[7]TABLO-1'!V4:V32873,'[7]TABLO-1'!H4:H32873,"=Dağıtım-OG",'[7]TABLO-1'!J4:J32873,"=Şebeke İşletmecisi",'[7]TABLO-1'!K4:K32873,"=Bildirimsiz",'[7]TABLO-1'!I4:I32873,"=Uzun",'[7]TABLO-1'!D4:D32873,"=ŞARKÖY")/P12</f>
        <v>27.060424408206341</v>
      </c>
      <c r="F8" s="10">
        <f t="shared" si="0"/>
        <v>27.40513295905102</v>
      </c>
      <c r="G8" s="10">
        <f>SUMIFS('[7]TABLO-1'!W4:W32873,'[7]TABLO-1'!H4:H32873,"=Dağıtım-OG",'[7]TABLO-1'!J4:J32873,"=Şebeke İşletmecisi",'[7]TABLO-1'!K4:K32873,"=Bildirimsiz",'[7]TABLO-1'!I4:I32873,"=Uzun",'[7]TABLO-1'!D4:D32873,"=ŞARKÖY")/P7</f>
        <v>14.982978722174712</v>
      </c>
      <c r="H8" s="10">
        <f>SUMIFS('[7]TABLO-1'!X4:X32873,'[7]TABLO-1'!H4:H32873,"=Dağıtım-OG",'[7]TABLO-1'!J4:J32873,"=Şebeke İşletmecisi",'[7]TABLO-1'!K4:K32873,"=Bildirimsiz",'[7]TABLO-1'!I4:I32873,"=Uzun",'[7]TABLO-1'!D4:D32873,"=ŞARKÖY")/P13</f>
        <v>16.225666402138156</v>
      </c>
      <c r="I8" s="10">
        <f t="shared" si="1"/>
        <v>16.224134915105662</v>
      </c>
      <c r="J8" s="10">
        <f>SUMIFS('[7]TABLO-1'!Y4:Y32873,'[7]TABLO-1'!H4:H32873,"=Dağıtım-OG",'[7]TABLO-1'!J4:J32873,"=Şebeke İşletmecisi",'[7]TABLO-1'!K4:K32873,"=Bildirimsiz",'[7]TABLO-1'!I4:I32873,"=Uzun",'[7]TABLO-1'!D4:D32873,"=ŞARKÖY")/P8</f>
        <v>29.213725487848826</v>
      </c>
      <c r="K8" s="10">
        <f>SUMIFS('[7]TABLO-1'!Z4:Z32873,'[7]TABLO-1'!H4:H32873,"=Dağıtım-OG",'[7]TABLO-1'!J4:J32873,"=Şebeke İşletmecisi",'[7]TABLO-1'!K4:K32873,"=Bildirimsiz",'[7]TABLO-1'!I4:I32873,"=Uzun",'[7]TABLO-1'!D4:D32873,"=ŞARKÖY")/P14</f>
        <v>37.293445637075699</v>
      </c>
      <c r="L8" s="10">
        <f t="shared" si="2"/>
        <v>37.242350968597371</v>
      </c>
      <c r="M8" s="11">
        <f t="shared" si="3"/>
        <v>20.988423922361694</v>
      </c>
      <c r="O8" s="20" t="s">
        <v>36</v>
      </c>
      <c r="P8" s="53">
        <v>68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SUMIFS('[7]TABLO-1'!U4:U32873,'[7]TABLO-1'!H4:H32873,"=Dağıtım-OG",'[7]TABLO-1'!J4:J32873,"=Dışsal",'[7]TABLO-1'!K4:K32873,"=Bildirimsiz",'[7]TABLO-1'!I4:I32873,"=Uzun",'[7]TABLO-1'!D4:D32873,"=ŞARKÖY")/P6</f>
        <v>0</v>
      </c>
      <c r="E9" s="10">
        <f>SUMIFS('[7]TABLO-1'!V4:V32873,'[7]TABLO-1'!H4:H32873,"=Dağıtım-OG",'[7]TABLO-1'!J4:J32873,"=Dışsal",'[7]TABLO-1'!K4:K32873,"=Bildirimsiz",'[7]TABLO-1'!I4:I32873,"=Uzun",'[7]TABLO-1'!D4:D32873,"=ŞARKÖY")/P12</f>
        <v>0</v>
      </c>
      <c r="F9" s="10">
        <f t="shared" si="0"/>
        <v>0</v>
      </c>
      <c r="G9" s="10">
        <f>SUMIFS('[7]TABLO-1'!W4:W32873,'[7]TABLO-1'!H4:H32873,"=Dağıtım-OG",'[7]TABLO-1'!J4:J32873,"=Dışsal",'[7]TABLO-1'!K4:K32873,"=Bildirimsiz",'[7]TABLO-1'!I4:I32873,"=Uzun",'[7]TABLO-1'!D4:D32873,"=ŞARKÖY")/P7</f>
        <v>0</v>
      </c>
      <c r="H9" s="10">
        <f>SUMIFS('[7]TABLO-1'!X4:X32873,'[7]TABLO-1'!H4:H32873,"=Dağıtım-OG",'[7]TABLO-1'!J4:J32873,"=Dışsal",'[7]TABLO-1'!K4:K32873,"=Bildirimsiz",'[7]TABLO-1'!I4:I32873,"=Uzun",'[7]TABLO-1'!D4:D32873,"=ŞARKÖY")/P13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SUMIFS('[7]TABLO-1'!Y4:Y32873,'[7]TABLO-1'!H4:H32873,"=Dağıtım-OG",'[7]TABLO-1'!J4:J32873,"=Dışsal",'[7]TABLO-1'!K4:K32873,"=Bildirimsiz",'[7]TABLO-1'!I4:I32873,"=Uzun",'[7]TABLO-1'!D4:D32873,"=ŞARKÖY")/P8</f>
        <v>0</v>
      </c>
      <c r="K9" s="10">
        <f>SUMIFS('[7]TABLO-1'!Z4:Z32873,'[7]TABLO-1'!H4:H32873,"=Dağıtım-OG",'[7]TABLO-1'!J4:J32873,"=Dışsal",'[7]TABLO-1'!K4:K32873,"=Bildirimsiz",'[7]TABLO-1'!I4:I32873,"=Uzun",'[7]TABLO-1'!D4:D32873,"=ŞARKÖY")/P14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117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Sebep",'[7]TABLO-1'!K4:K32873,"=Bildirimsiz",'[7]TABLO-1'!I4:I32873,"=Uzun",'[7]TABLO-1'!D4:D32873,"=ŞARKÖY")/P6</f>
        <v>0</v>
      </c>
      <c r="E10" s="10">
        <f>SUMIFS('[7]TABLO-1'!V4:V32873,'[7]TABLO-1'!H4:H32873,"=Dağıtım-OG",'[7]TABLO-1'!J4:J32873,"=Mücbir Sebep",'[7]TABLO-1'!K4:K32873,"=Bildirimsiz",'[7]TABLO-1'!I4:I32873,"=Uzun",'[7]TABLO-1'!D4:D32873,"=ŞARKÖY")/P12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Sebep",'[7]TABLO-1'!K4:K32873,"=Bildirimsiz",'[7]TABLO-1'!I4:I32873,"=Uzun",'[7]TABLO-1'!D4:D32873,"=ŞARKÖY")/P7</f>
        <v>0</v>
      </c>
      <c r="H10" s="10">
        <f>SUMIFS('[7]TABLO-1'!X4:X32873,'[7]TABLO-1'!H4:H32873,"=Dağıtım-OG",'[7]TABLO-1'!J4:J32873,"=Mücbir Sebep",'[7]TABLO-1'!K4:K32873,"=Bildirimsiz",'[7]TABLO-1'!I4:I32873,"=Uzun",'[7]TABLO-1'!D4:D32873,"=ŞARKÖY")/P13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Sebep",'[7]TABLO-1'!K4:K32873,"=Bildirimsiz",'[7]TABLO-1'!I4:I32873,"=Uzun",'[7]TABLO-1'!D4:D32873,"=ŞARKÖY")/P8</f>
        <v>0</v>
      </c>
      <c r="K10" s="10">
        <f>SUMIFS('[7]TABLO-1'!Z4:Z32873,'[7]TABLO-1'!H4:H32873,"=Dağıtım-OG",'[7]TABLO-1'!J4:J32873,"=Mücbir Sebep",'[7]TABLO-1'!K4:K32873,"=Bildirimsiz",'[7]TABLO-1'!I4:I32873,"=Uzun",'[7]TABLO-1'!D4:D32873,"=ŞARKÖY")/P14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SUMIFS('[7]TABLO-1'!U4:U32873,'[7]TABLO-1'!H4:H32873,"=Dağıtım-OG",'[7]TABLO-1'!J4:J32873,"=Güvenlik",'[7]TABLO-1'!K4:K32873,"=Bildirimsiz",'[7]TABLO-1'!I4:I32873,"=Uzun",'[7]TABLO-1'!D4:D32873,"=ŞARKÖY")/P6</f>
        <v>0</v>
      </c>
      <c r="E11" s="10">
        <f>SUMIFS('[7]TABLO-1'!V4:V32873,'[7]TABLO-1'!H4:H32873,"=Dağıtım-OG",'[7]TABLO-1'!J4:J32873,"=Güvenlik",'[7]TABLO-1'!K4:K32873,"=Bildirimsiz",'[7]TABLO-1'!I4:I32873,"=Uzun",'[7]TABLO-1'!D4:D32873,"=ŞARKÖY")/P12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SUMIFS('[7]TABLO-1'!W4:W32873,'[7]TABLO-1'!H4:H32873,"=Dağıtım-OG",'[7]TABLO-1'!J4:J32873,"=Güvenlik",'[7]TABLO-1'!K4:K32873,"=Bildirimsiz",'[7]TABLO-1'!I4:I32873,"=Uzun",'[7]TABLO-1'!D4:D32873,"=ŞARKÖY")/P7</f>
        <v>0</v>
      </c>
      <c r="H11" s="10">
        <f>SUMIFS('[7]TABLO-1'!X4:X32873,'[7]TABLO-1'!H4:H32873,"=Dağıtım-OG",'[7]TABLO-1'!J4:J32873,"=Güvenlik",'[7]TABLO-1'!K4:K32873,"=Bildirimsiz",'[7]TABLO-1'!I4:I32873,"=Uzun",'[7]TABLO-1'!D4:D32873,"=ŞARKÖY")/P13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SUMIFS('[7]TABLO-1'!Y4:Y32873,'[7]TABLO-1'!H4:H32873,"=Dağıtım-OG",'[7]TABLO-1'!J4:J32873,"=Güvenlik",'[7]TABLO-1'!K4:K32873,"=Bildirimsiz",'[7]TABLO-1'!I4:I32873,"=Uzun",'[7]TABLO-1'!D4:D32873,"=ŞARKÖY")/P8</f>
        <v>0</v>
      </c>
      <c r="K11" s="10">
        <f>SUMIFS('[7]TABLO-1'!Z4:Z32873,'[7]TABLO-1'!H4:H32873,"=Dağıtım-OG",'[7]TABLO-1'!J4:J32873,"=Güvenlik",'[7]TABLO-1'!K4:K32873,"=Bildirimsiz",'[7]TABLO-1'!I4:I32873,"=Uzun",'[7]TABLO-1'!D4:D32873,"=ŞARKÖY")/P14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İşletmecisi",'[7]TABLO-1'!K4:K32873,"=Bildirimsiz",'[7]TABLO-1'!I4:I32873,"=Uzun",'[7]TABLO-1'!D4:D32873,"=ŞARKÖY")/P6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işletmecisi",'[7]TABLO-1'!K4:K32873,"=Bildirimsiz",'[7]TABLO-1'!I4:I32873,"=Uzun",'[7]TABLO-1'!D4:D32873,"=ŞARKÖY")/P12</f>
        <v>3.1133209419225563</v>
      </c>
      <c r="F12" s="10">
        <f t="shared" si="0"/>
        <v>3.1075448362789149</v>
      </c>
      <c r="G12" s="12">
        <f>SUMIFS('[7]TABLO-1'!W4:W32873,'[7]TABLO-1'!H4:H32873,"=Dağıtım-AG",'[7]TABLO-1'!J4:J32873,"=Şebeke İşletmecisi",'[7]TABLO-1'!K4:K32873,"=Bildirimsiz",'[7]TABLO-1'!I4:I32873,"=Uzun",'[7]TABLO-1'!D4:D32873,"=ŞARKÖY")/P7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İşletmecisi",'[7]TABLO-1'!K4:K32873,"=Bildirimsiz",'[7]TABLO-1'!I4:I32873,"=Uzun",'[7]TABLO-1'!D4:D32873,"=ŞARKÖY")/P13</f>
        <v>1.5086098713958935</v>
      </c>
      <c r="I12" s="10">
        <f t="shared" si="1"/>
        <v>1.5067506621252218</v>
      </c>
      <c r="J12" s="12">
        <f>SUMIFS('[7]TABLO-1'!Y4:Y32873,'[7]TABLO-1'!H4:H32873,"=Dağıtım-AG",'[7]TABLO-1'!J4:J32873,"=Şebeke İşletmecisi",'[7]TABLO-1'!K4:K32873,"=Bildirimsiz",'[7]TABLO-1'!I4:I32873,"=Uzun",'[7]TABLO-1'!D4:D32873,"=ŞARKÖY")/P8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İşletmecisi",'[7]TABLO-1'!K4:K32873,"=Bildirimsiz",'[7]TABLO-1'!I4:I32873,"=Uzun",'[7]TABLO-1'!D4:D32873,"=ŞARKÖY")/P14</f>
        <v>1.5330588053299614</v>
      </c>
      <c r="L12" s="10">
        <f t="shared" si="2"/>
        <v>1.5233640225937539</v>
      </c>
      <c r="M12" s="11">
        <f t="shared" si="3"/>
        <v>1.5448610444670368</v>
      </c>
      <c r="O12" s="6" t="s">
        <v>33</v>
      </c>
      <c r="P12" s="42">
        <v>1076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SUMIFS('[7]TABLO-1'!U4:U32873,'[7]TABLO-1'!H4:H32873,"=Dağıtım-AG",'[7]TABLO-1'!J4:J32873,"=Dışsal",'[7]TABLO-1'!K4:K32873,"=Bildirimsiz",'[7]TABLO-1'!I4:I32873,"=Uzun",'[7]TABLO-1'!D4:D32873,"=ŞARKÖY")/P6</f>
        <v>0</v>
      </c>
      <c r="E13" s="10">
        <f>SUMIFS('[7]TABLO-1'!V4:V32873,'[7]TABLO-1'!H4:H32873,"=Dağıtım-AG",'[7]TABLO-1'!J4:J32873,"=Dışsal",'[7]TABLO-1'!K4:K32873,"=Bildirimsiz",'[7]TABLO-1'!I4:I32873,"=Uzun",'[7]TABLO-1'!D4:D32873,"=ŞARKÖY")/P12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SUMIFS('[7]TABLO-1'!W4:W32873,'[7]TABLO-1'!H4:H32873,"=Dağıtım-AG",'[7]TABLO-1'!J4:J32873,"=Dışsal",'[7]TABLO-1'!K4:K32873,"=Bildirimsiz",'[7]TABLO-1'!I4:I32873,"=Uzun",'[7]TABLO-1'!D4:D32873,"=ŞARKÖY")/P7</f>
        <v>0</v>
      </c>
      <c r="H13" s="10">
        <f>SUMIFS('[7]TABLO-1'!X4:X32873,'[7]TABLO-1'!H4:H32873,"=Dağıtım-AG",'[7]TABLO-1'!J4:J32873,"=Dışsal",'[7]TABLO-1'!K4:K32873,"=Bildirimsiz",'[7]TABLO-1'!I4:I32873,"=Uzun",'[7]TABLO-1'!D4:D32873,"=ŞARKÖY")/P13</f>
        <v>0.40548044107867204</v>
      </c>
      <c r="I13" s="10">
        <f t="shared" si="1"/>
        <v>0.40498072739561625</v>
      </c>
      <c r="J13" s="12">
        <f>SUMIFS('[7]TABLO-1'!Y4:Y32873,'[7]TABLO-1'!H4:H32873,"=Dağıtım-AG",'[7]TABLO-1'!J4:J32873,"=Dışsal",'[7]TABLO-1'!K4:K32873,"=Bildirimsiz",'[7]TABLO-1'!I4:I32873,"=Uzun",'[7]TABLO-1'!D4:D32873,"=ŞARKÖY")/P8</f>
        <v>0</v>
      </c>
      <c r="K13" s="10">
        <f>SUMIFS('[7]TABLO-1'!Z4:Z32873,'[7]TABLO-1'!H4:H32873,"=Dağıtım-AG",'[7]TABLO-1'!J4:J32873,"=Dışsal",'[7]TABLO-1'!K4:K32873,"=Bildirimsiz",'[7]TABLO-1'!I4:I32873,"=Uzun",'[7]TABLO-1'!D4:D32873,"=ŞARKÖY")/P14</f>
        <v>3.6587115896671352E-2</v>
      </c>
      <c r="L13" s="10">
        <f t="shared" si="2"/>
        <v>3.6355745685476927E-2</v>
      </c>
      <c r="M13" s="11">
        <f t="shared" si="3"/>
        <v>0.31691649323652238</v>
      </c>
      <c r="O13" s="6" t="s">
        <v>35</v>
      </c>
      <c r="P13" s="42">
        <v>38090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Sebep",'[7]TABLO-1'!K4:K32873,"=Bildirimsiz",'[7]TABLO-1'!I4:I32873,"=Uzun",'[7]TABLO-1'!D4:D32873,"=ŞARKÖY")/P6</f>
        <v>0</v>
      </c>
      <c r="E14" s="10">
        <f>SUMIFS('[7]TABLO-1'!V4:V32873,'[7]TABLO-1'!H4:H32873,"=Dağıtım-AG",'[7]TABLO-1'!J4:J32873,"=Mücbir Sebep",'[7]TABLO-1'!K4:K32873,"=Bildirimsiz",'[7]TABLO-1'!I4:I32873,"=Uzun",'[7]TABLO-1'!D4:D32873,"=ŞARKÖY")/P12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Sebep",'[7]TABLO-1'!K4:K32873,"=Bildirimsiz",'[7]TABLO-1'!I4:I32873,"=Uzun",'[7]TABLO-1'!D4:D32873,"=ŞARKÖY")/P7</f>
        <v>0</v>
      </c>
      <c r="H14" s="10">
        <f>SUMIFS('[7]TABLO-1'!X4:X32873,'[7]TABLO-1'!H4:H32873,"=Dağıtım-AG",'[7]TABLO-1'!J4:J32873,"=Mücbir Sebep",'[7]TABLO-1'!K4:K32873,"=Bildirimsiz",'[7]TABLO-1'!I4:I32873,"=Uzun",'[7]TABLO-1'!D4:D32873,"=ŞARKÖY")/P13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Sebep",'[7]TABLO-1'!K4:K32873,"=Bildirimsiz",'[7]TABLO-1'!I4:I32873,"=Uzun",'[7]TABLO-1'!D4:D32873,"=ŞARKÖY")/P8</f>
        <v>0</v>
      </c>
      <c r="K14" s="10">
        <f>SUMIFS('[7]TABLO-1'!Z4:Z32873,'[7]TABLO-1'!H4:H32873,"=Dağıtım-AG",'[7]TABLO-1'!J4:J32873,"=Mücbir Sebep",'[7]TABLO-1'!K4:K32873,"=Bildirimsiz",'[7]TABLO-1'!I4:I32873,"=Uzun",'[7]TABLO-1'!D4:D32873,"=ŞARKÖY")/P14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10685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SUMIFS('[7]TABLO-1'!U4:U32873,'[7]TABLO-1'!H4:H32873,"=Dağıtım-AG",'[7]TABLO-1'!J4:J32873,"=Güvenlik",'[7]TABLO-1'!K4:K32873,"=Bildirimsiz",'[7]TABLO-1'!I4:I32873,"=Uzun",'[7]TABLO-1'!D4:D32873,"=ŞARKÖY")/P6</f>
        <v>0</v>
      </c>
      <c r="E15" s="10">
        <f>SUMIFS('[7]TABLO-1'!V4:V32873,'[7]TABLO-1'!H4:H32873,"=Dağıtım-AG",'[7]TABLO-1'!J4:J32873,"=Güvenlik",'[7]TABLO-1'!K4:K32873,"=Bildirimsiz",'[7]TABLO-1'!I4:I32873,"=Uzun",'[7]TABLO-1'!D4:D32873,"=ŞARKÖY")/P12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SUMIFS('[7]TABLO-1'!W4:W32873,'[7]TABLO-1'!H4:H32873,"=Dağıtım-AG",'[7]TABLO-1'!J4:J32873,"=Güvenlik",'[7]TABLO-1'!K4:K32873,"=Bildirimsiz",'[7]TABLO-1'!I4:I32873,"=Uzun",'[7]TABLO-1'!D4:D32873,"=ŞARKÖY")/P7</f>
        <v>0</v>
      </c>
      <c r="H15" s="10">
        <f>SUMIFS('[7]TABLO-1'!X4:X32873,'[7]TABLO-1'!H4:H32873,"=Dağıtım-AG",'[7]TABLO-1'!J4:J32873,"=Güvenlik",'[7]TABLO-1'!K4:K32873,"=Bildirimsiz",'[7]TABLO-1'!I4:I32873,"=Uzun",'[7]TABLO-1'!D4:D32873,"=ŞARKÖY")/P13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SUMIFS('[7]TABLO-1'!Y4:Y32873,'[7]TABLO-1'!H4:H32873,"=Dağıtım-AG",'[7]TABLO-1'!J4:J32873,"=Güvenlik",'[7]TABLO-1'!K4:K32873,"=Bildirimsiz",'[7]TABLO-1'!I4:I32873,"=Uzun",'[7]TABLO-1'!D4:D32873,"=ŞARKÖY")/P8</f>
        <v>0</v>
      </c>
      <c r="K15" s="10">
        <f>SUMIFS('[7]TABLO-1'!Z4:Z32873,'[7]TABLO-1'!H4:H32873,"=Dağıtım-AG",'[7]TABLO-1'!J4:J32873,"=Güvenlik",'[7]TABLO-1'!K4:K32873,"=Bildirimsiz",'[7]TABLO-1'!I4:I32873,"=Uzun",'[7]TABLO-1'!D4:D32873,"=ŞARKÖY")/P14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49851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212.8583333134884</v>
      </c>
      <c r="E16" s="10">
        <f t="shared" si="4"/>
        <v>30.173745350128897</v>
      </c>
      <c r="F16" s="10">
        <f t="shared" si="4"/>
        <v>30.512677795329935</v>
      </c>
      <c r="G16" s="10">
        <f t="shared" si="4"/>
        <v>14.982978722174712</v>
      </c>
      <c r="H16" s="10">
        <f t="shared" si="4"/>
        <v>18.139756714612723</v>
      </c>
      <c r="I16" s="10">
        <f t="shared" si="4"/>
        <v>18.1358663046265</v>
      </c>
      <c r="J16" s="10">
        <f>SUM(J6:J15)</f>
        <v>29.213725487848826</v>
      </c>
      <c r="K16" s="10">
        <f>SUM(K6:K15)</f>
        <v>38.863091558302337</v>
      </c>
      <c r="L16" s="10">
        <f>SUM(L6:L15)</f>
        <v>38.802070736876601</v>
      </c>
      <c r="M16" s="11">
        <f t="shared" si="4"/>
        <v>22.850201460065254</v>
      </c>
    </row>
    <row r="17" spans="2:16" ht="15" customHeight="1" x14ac:dyDescent="0.25">
      <c r="B17" s="29"/>
      <c r="O17" s="50" t="s">
        <v>37</v>
      </c>
      <c r="P17" s="47">
        <f>P6+P12</f>
        <v>1078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38137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İşletmecisi",'[7]TABLO-1'!K4:K32873,"=Bildirimli",'[7]TABLO-1'!I4:I32873,"=Uzun",'[7]TABLO-1'!D4:D32873,"=ŞARKÖY")/P6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İşletmecisi",'[7]TABLO-1'!K4:K32873,"=Bildirimli",'[7]TABLO-1'!I4:I32873,"=Uzun",'[7]TABLO-1'!D4:D32873,"=ŞARKÖY")/P12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İşletmecisi",'[7]TABLO-1'!K4:K32873,"=Bildirimli",'[7]TABLO-1'!I4:I32873,"=Uzun",'[7]TABLO-1'!D4:D32873,"=ŞARKÖY")/P7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İşletmecisi",'[7]TABLO-1'!K4:K32873,"=Bildirimli",'[7]TABLO-1'!I4:I32873,"=Uzun",'[7]TABLO-1'!D4:D32873,"=ŞARKÖY")/P13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İşletmecisi",'[7]TABLO-1'!K4:K32873,"=Bildirimli",'[7]TABLO-1'!I4:I32873,"=Uzun",'[7]TABLO-1'!D4:D32873,"=ŞARKÖY")/P8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İşletmecisi",'[7]TABLO-1'!K4:K32873,"=Bildirimli",'[7]TABLO-1'!I4:I32873,"=Uzun",'[7]TABLO-1'!D4:D32873,"=ŞARKÖY")/P14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İşletmecisi",'[7]TABLO-1'!K4:K32873,"=Bildirimli",'[7]TABLO-1'!I4:I32873,"=Uzun",'[7]TABLO-1'!D4:D32873,"=ŞARKÖY")/P6</f>
        <v>708.33333333546761</v>
      </c>
      <c r="E22" s="10">
        <f>SUMIFS('[7]TABLO-1'!V4:V32873,'[7]TABLO-1'!H4:H32873,"=Dağıtım-OG",'[7]TABLO-1'!J4:J32873,"=Şebeke İşletmecisi",'[7]TABLO-1'!K4:K32873,"=Bildirimli",'[7]TABLO-1'!I4:I32873,"=Uzun",'[7]TABLO-1'!D4:D32873,"=ŞARKÖY")/P12</f>
        <v>69.301502478404615</v>
      </c>
      <c r="F22" s="10">
        <f t="shared" ref="F22:F25" si="5">IFERROR((((D22*$P$6)+(E22*$P$12))/$P$17),"0,00")</f>
        <v>70.48709029075539</v>
      </c>
      <c r="G22" s="10">
        <f>SUMIFS('[7]TABLO-1'!W4:W32873,'[7]TABLO-1'!H4:H32873,"=Dağıtım-OG",'[7]TABLO-1'!J4:J32873,"=Şebeke İşletmecisi",'[7]TABLO-1'!K4:K32873,"=Bildirimli",'[7]TABLO-1'!I4:I32873,"=Uzun",'[7]TABLO-1'!D4:D32873,"=ŞARKÖY")/P7</f>
        <v>6.3829787230327169</v>
      </c>
      <c r="H22" s="10">
        <f>SUMIFS('[7]TABLO-1'!X4:X32873,'[7]TABLO-1'!H4:H32873,"=Dağıtım-OG",'[7]TABLO-1'!J4:J32873,"=Şebeke İşletmecisi",'[7]TABLO-1'!K4:K32873,"=Bildirimli",'[7]TABLO-1'!I4:I32873,"=Uzun",'[7]TABLO-1'!D4:D32873,"=ŞARKÖY")/P13</f>
        <v>0.88664085064616971</v>
      </c>
      <c r="I22" s="10">
        <f t="shared" ref="I22:I25" si="6">IFERROR((((G22*$P$7)+(H22*$P$13))/$P$20),"0,00")</f>
        <v>0.89341453184820885</v>
      </c>
      <c r="J22" s="10">
        <f>SUMIFS('[7]TABLO-1'!Y4:Y32873,'[7]TABLO-1'!H4:H32873,"=Dağıtım-OG",'[7]TABLO-1'!J4:J32873,"=Şebeke İşletmecisi",'[7]TABLO-1'!K4:K32873,"=Bildirimli",'[7]TABLO-1'!I4:I32873,"=Uzun",'[7]TABLO-1'!D4:D32873,"=ŞARKÖY")/P8</f>
        <v>12.641176469452844</v>
      </c>
      <c r="K22" s="10">
        <f>SUMIFS('[7]TABLO-1'!Z4:Z32873,'[7]TABLO-1'!H4:H32873,"=Dağıtım-OG",'[7]TABLO-1'!J4:J32873,"=Şebeke İşletmecisi",'[7]TABLO-1'!K4:K32873,"=Bildirimli",'[7]TABLO-1'!I4:I32873,"=Uzun",'[7]TABLO-1'!D4:D32873,"=ŞARKÖY")/P14</f>
        <v>18.332035562730621</v>
      </c>
      <c r="L22" s="10">
        <f t="shared" ref="L22:L25" si="7">IFERROR((((J22*$P$8)+(K22*$P$14))/$P$23),"0,00")</f>
        <v>18.29604761347526</v>
      </c>
      <c r="M22" s="11">
        <f t="shared" ref="M22:M25" si="8">IFERROR((((F22*$P$17)+(I22*$P$20)+(L22*$P$23))/$P$26),"0,00")</f>
        <v>6.1398221526222567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SUMIFS('[7]TABLO-1'!U4:U32873,'[7]TABLO-1'!H4:H32873,"=Dağıtım-OG",'[7]TABLO-1'!J4:J32873,"=Güvenlik",'[7]TABLO-1'!K4:K32873,"=Bildirimli",'[7]TABLO-1'!I4:I32873,"=Uzun",'[7]TABLO-1'!D4:D32873,"=ŞARKÖY")/P6</f>
        <v>0</v>
      </c>
      <c r="E23" s="10">
        <f>SUMIFS('[7]TABLO-1'!V4:V32873,'[7]TABLO-1'!H4:H32873,"=Dağıtım-OG",'[7]TABLO-1'!J4:J32873,"=Güvenlik",'[7]TABLO-1'!K4:K32873,"=Bildirimli",'[7]TABLO-1'!I4:I32873,"=Uzun",'[7]TABLO-1'!D4:D32873,"=ŞARKÖY")/P12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SUMIFS('[7]TABLO-1'!W4:W32873,'[7]TABLO-1'!H4:H32873,"=Dağıtım-OG",'[7]TABLO-1'!J4:J32873,"=Güvenlik",'[7]TABLO-1'!K4:K32873,"=Bildirimli",'[7]TABLO-1'!I4:I32873,"=Uzun",'[7]TABLO-1'!D4:D32873,"=ŞARKÖY")/P7</f>
        <v>0</v>
      </c>
      <c r="H23" s="10">
        <f>SUMIFS('[7]TABLO-1'!X4:X32873,'[7]TABLO-1'!H4:H32873,"=Dağıtım-OG",'[7]TABLO-1'!J4:J32873,"=Güvenlik",'[7]TABLO-1'!K4:K32873,"=Bildirimli",'[7]TABLO-1'!I4:I32873,"=Uzun",'[7]TABLO-1'!D4:D32873,"=ŞARKÖY")/P13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SUMIFS('[7]TABLO-1'!Y4:Y32873,'[7]TABLO-1'!H4:H32873,"=Dağıtım-OG",'[7]TABLO-1'!J4:J32873,"=Güvenlik",'[7]TABLO-1'!K4:K32873,"=Bildirimli",'[7]TABLO-1'!I4:I32873,"=Uzun",'[7]TABLO-1'!D4:D32873,"=ŞARKÖY")/P8</f>
        <v>0</v>
      </c>
      <c r="K23" s="10">
        <f>SUMIFS('[7]TABLO-1'!Z4:Z32873,'[7]TABLO-1'!H4:H32873,"=Dağıtım-OG",'[7]TABLO-1'!J4:J32873,"=Güvenlik",'[7]TABLO-1'!K4:K32873,"=Bildirimli",'[7]TABLO-1'!I4:I32873,"=Uzun",'[7]TABLO-1'!D4:D32873,"=ŞARKÖY")/P14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10753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İşletmecisi",'[7]TABLO-1'!K4:K32873,"=Bildirimli",'[7]TABLO-1'!I4:I32873,"=Uzun",'[7]TABLO-1'!D4:D32873,"=ŞARKÖY")/P6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İşletmecisi",'[7]TABLO-1'!K4:K32873,"=Bildirimli",'[7]TABLO-1'!I4:I32873,"=Uzun",'[7]TABLO-1'!D4:D32873,"=ŞARKÖY")/P12</f>
        <v>0</v>
      </c>
      <c r="F24" s="10">
        <f t="shared" si="5"/>
        <v>0</v>
      </c>
      <c r="G24" s="12">
        <f>SUMIFS('[7]TABLO-1'!W4:W32873,'[7]TABLO-1'!H4:H32873,"=Dağıtım-AG",'[7]TABLO-1'!J4:J32873,"=Şebeke İşletmecisi",'[7]TABLO-1'!K4:K32873,"=Bildirimli",'[7]TABLO-1'!I4:I32873,"=Uzun",'[7]TABLO-1'!D4:D32873,"=ŞARKÖY")/P7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İşletmecisi",'[7]TABLO-1'!K4:K32873,"=Bildirimli",'[7]TABLO-1'!I4:I32873,"=Uzun",'[7]TABLO-1'!D4:D32873,"=ŞARKÖY")/P13</f>
        <v>1.7605955194112246</v>
      </c>
      <c r="I24" s="10">
        <f t="shared" si="6"/>
        <v>1.758425763284305</v>
      </c>
      <c r="J24" s="12">
        <f>SUMIFS('[7]TABLO-1'!Y4:Y32873,'[7]TABLO-1'!H4:H32873,"=Dağıtım-AG",'[7]TABLO-1'!J4:J32873,"=Şebeke İşletmecisi",'[7]TABLO-1'!K4:K32873,"=Bildirimli",'[7]TABLO-1'!I4:I32873,"=Uzun",'[7]TABLO-1'!D4:D32873,"=ŞARKÖY")/P8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İşletmecisi",'[7]TABLO-1'!K4:K32873,"=Bildirimli",'[7]TABLO-1'!I4:I32873,"=Uzun",'[7]TABLO-1'!D4:D32873,"=ŞARKÖY")/P14</f>
        <v>3.4583138356608054</v>
      </c>
      <c r="L24" s="10">
        <f t="shared" si="7"/>
        <v>3.4364440931866183</v>
      </c>
      <c r="M24" s="11">
        <f t="shared" si="8"/>
        <v>2.0815955545230795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SUMIFS('[7]TABLO-1'!U4:U32873,'[7]TABLO-1'!H4:H32873,"=Dağıtım-AG",'[7]TABLO-1'!J4:J32873,"=Güvenlik",'[7]TABLO-1'!K4:K32873,"=Bildirimli",'[7]TABLO-1'!I4:I32873,"=Uzun",'[7]TABLO-1'!D4:D32873,"=ŞARKÖY")/P6</f>
        <v>0</v>
      </c>
      <c r="E25" s="10">
        <f>SUMIFS('[7]TABLO-1'!V4:V32873,'[7]TABLO-1'!H4:H32873,"=Dağıtım-AG",'[7]TABLO-1'!J4:J32873,"=Güvenlik",'[7]TABLO-1'!K4:K32873,"=Bildirimli",'[7]TABLO-1'!I4:I32873,"=Uzun",'[7]TABLO-1'!D4:D32873,"=ŞARKÖY")/P12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SUMIFS('[7]TABLO-1'!W4:W32873,'[7]TABLO-1'!H4:H32873,"=Dağıtım-AG",'[7]TABLO-1'!J4:J32873,"=Güvenlik",'[7]TABLO-1'!K4:K32873,"=Bildirimli",'[7]TABLO-1'!I4:I32873,"=Uzun",'[7]TABLO-1'!D4:D32873,"=ŞARKÖY")/P7</f>
        <v>0</v>
      </c>
      <c r="H25" s="10">
        <f>SUMIFS('[7]TABLO-1'!X4:X32873,'[7]TABLO-1'!H4:H32873,"=Dağıtım-AG",'[7]TABLO-1'!J4:J32873,"=Güvenlik",'[7]TABLO-1'!K4:K32873,"=Bildirimli",'[7]TABLO-1'!I4:I32873,"=Uzun",'[7]TABLO-1'!D4:D32873,"=ŞARKÖY")/P13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SUMIFS('[7]TABLO-1'!Y4:Y32873,'[7]TABLO-1'!H4:H32873,"=Dağıtım-AG",'[7]TABLO-1'!J4:J32873,"=Güvenlik",'[7]TABLO-1'!K4:K32873,"=Bildirimli",'[7]TABLO-1'!I4:I32873,"=Uzun",'[7]TABLO-1'!D4:D32873,"=ŞARKÖY")/P8</f>
        <v>0</v>
      </c>
      <c r="K25" s="10">
        <f>SUMIFS('[7]TABLO-1'!Z4:Z32873,'[7]TABLO-1'!H4:H32873,"=Dağıtım-AG",'[7]TABLO-1'!J4:J32873,"=Güvenlik",'[7]TABLO-1'!K4:K32873,"=Bildirimli",'[7]TABLO-1'!I4:I32873,"=Uzun",'[7]TABLO-1'!D4:D32873,"=ŞARKÖY")/P14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708.33333333546761</v>
      </c>
      <c r="E26" s="10">
        <f t="shared" ref="E26:M26" si="9">SUM(E21:E25)</f>
        <v>69.301502478404615</v>
      </c>
      <c r="F26" s="10">
        <f t="shared" si="9"/>
        <v>70.48709029075539</v>
      </c>
      <c r="G26" s="10">
        <f t="shared" si="9"/>
        <v>6.3829787230327169</v>
      </c>
      <c r="H26" s="10">
        <f t="shared" si="9"/>
        <v>2.6472363700573944</v>
      </c>
      <c r="I26" s="10">
        <f t="shared" si="9"/>
        <v>2.651840295132514</v>
      </c>
      <c r="J26" s="10">
        <f t="shared" si="9"/>
        <v>12.641176469452844</v>
      </c>
      <c r="K26" s="10">
        <f t="shared" si="9"/>
        <v>21.790349398391427</v>
      </c>
      <c r="L26" s="10">
        <f t="shared" si="9"/>
        <v>21.732491706661879</v>
      </c>
      <c r="M26" s="11">
        <f t="shared" si="9"/>
        <v>8.2214177071453367</v>
      </c>
      <c r="O26" s="43" t="s">
        <v>22</v>
      </c>
      <c r="P26" s="44">
        <f>P20+P17+P23</f>
        <v>49968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İşletmecisi",'[7]TABLO-1'!K4:K32873,"=Bildirimsiz",'[7]TABLO-1'!I4:I32873,"=Uzun",'[7]TABLO-1'!D4:D32873,"=ŞARKÖY")/P6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İşletmecisi",'[7]TABLO-1'!K4:K32873,"=Bildirimsiz",'[7]TABLO-1'!I4:I32873,"=Uzun",'[7]TABLO-1'!D4:D32873,"=ŞARKÖY")/P12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İşletmecisi",'[7]TABLO-1'!K4:K32873,"=Bildirimsiz",'[7]TABLO-1'!I4:I32873,"=Uzun",'[7]TABLO-1'!D4:D32873,"=ŞARKÖY")/P7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İşletmecisi",'[7]TABLO-1'!K4:K32873,"=Bildirimsiz",'[7]TABLO-1'!I4:I32873,"=Uzun",'[7]TABLO-1'!D4:D32873,"=ŞARKÖY")/P13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İşletmecisi",'[7]TABLO-1'!K4:K32873,"=Bildirimsiz",'[7]TABLO-1'!I4:I32873,"=Uzun",'[7]TABLO-1'!D4:D32873,"=ŞARKÖY")/P8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İşletmecisi",'[7]TABLO-1'!K4:K32873,"=bildirimsiz",'[7]TABLO-1'!I4:I32873,"=Uzun",'[7]TABLO-1'!D4:D32873,"=ŞARKÖY")/P14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Sebep",'[7]TABLO-1'!K4:K32873,"=Bildirimsiz",'[7]TABLO-1'!I4:I32873,"=Uzun",'[7]TABLO-1'!D4:D32873,"=ŞARKÖY")/P6</f>
        <v>0</v>
      </c>
      <c r="E32" s="10">
        <f>SUMIFS('[7]TABLO-1'!P4:P32873,'[7]TABLO-1'!H4:H32873,"=İletim",'[7]TABLO-1'!J4:J32873,"=Mücbir Sebep",'[7]TABLO-1'!K4:K32873,"=Bildirimsiz",'[7]TABLO-1'!I4:I32873,"=Uzun",'[7]TABLO-1'!D4:D32873,"=ŞARKÖY")/P12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Sebep",'[7]TABLO-1'!K4:K32873,"=Bildirimsiz",'[7]TABLO-1'!I4:I32873,"=Uzun",'[7]TABLO-1'!D4:D32873,"=ŞARKÖY")/P7</f>
        <v>0</v>
      </c>
      <c r="H32" s="10">
        <f>SUMIFS('[7]TABLO-1'!R4:R32873,'[7]TABLO-1'!H4:H32873,"=İletim",'[7]TABLO-1'!J4:J32873,"=Mücbir Sebep",'[7]TABLO-1'!K4:K32873,"=Bildirimsiz",'[7]TABLO-1'!I4:I32873,"=Uzun",'[7]TABLO-1'!D4:D32873,"=ŞARKÖY")/P13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Sebep",'[7]TABLO-1'!K4:K32873,"=Bildirimsiz",'[7]TABLO-1'!I4:I32873,"=Uzun",'[7]TABLO-1'!D4:D32873,"=ŞARKÖY")/P8</f>
        <v>0</v>
      </c>
      <c r="K32" s="10">
        <f>SUMIFS('[7]TABLO-1'!T4:T32873,'[7]TABLO-1'!H4:H32873,"=İletim",'[7]TABLO-1'!J4:J32873,"=Mücbir Sebep",'[7]TABLO-1'!K4:K32873,"=bildirimsiz",'[7]TABLO-1'!I4:I32873,"=Uzun",'[7]TABLO-1'!D4:D32873,"=ŞARKÖY")/P14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İşletmecisi",'[7]TABLO-1'!K4:K32873,"=Bildirimsiz",'[7]TABLO-1'!I4:I32873,"=Uzun",'[7]TABLO-1'!D4:D32873,"=ŞARKÖY")/P6</f>
        <v>7.5</v>
      </c>
      <c r="E33" s="10">
        <f>SUMIFS('[7]TABLO-1'!P4:P32873,'[7]TABLO-1'!H4:H32873,"=Dağıtım-OG",'[7]TABLO-1'!J4:J32873,"=Şebeke İşletmecisi",'[7]TABLO-1'!K4:K32873,"=Bildirimsiz",'[7]TABLO-1'!I4:I32873,"=Uzun",'[7]TABLO-1'!D4:D32873,"=ŞARKÖY")/P12</f>
        <v>1.1040892193308549</v>
      </c>
      <c r="F33" s="10">
        <f t="shared" si="10"/>
        <v>1.1159554730983301</v>
      </c>
      <c r="G33" s="10">
        <f>SUMIFS('[7]TABLO-1'!Q4:Q32873,'[7]TABLO-1'!H4:H32873,"=Dağıtım-OG",'[7]TABLO-1'!J4:J32873,"=Şebeke İşletmecisi",'[7]TABLO-1'!K4:K32873,"=Bildirimsiz",'[7]TABLO-1'!I4:I32873,"=Uzun",'[7]TABLO-1'!D4:D32873,"=ŞARKÖY")/P7</f>
        <v>0.42553191489361702</v>
      </c>
      <c r="H33" s="10">
        <f>SUMIFS('[7]TABLO-1'!R4:R32873,'[7]TABLO-1'!H4:H32873,"=Dağıtım-OG",'[7]TABLO-1'!J4:J32873,"=Şebeke İşletmecisi",'[7]TABLO-1'!K4:K32873,"=Bildirimsiz",'[7]TABLO-1'!I4:I32873,"=Uzun",'[7]TABLO-1'!D4:D32873,"=ŞARKÖY")/P13</f>
        <v>0.64074560252034651</v>
      </c>
      <c r="I33" s="10">
        <f t="shared" si="11"/>
        <v>0.64048037339067043</v>
      </c>
      <c r="J33" s="10">
        <f>SUMIFS('[7]TABLO-1'!S4:S32873,'[7]TABLO-1'!H4:H32873,"=Dağıtım-OG",'[7]TABLO-1'!J4:J32873,"=Şebeke İşletmecisi",'[7]TABLO-1'!K4:K32873,"=Bildirimsiz",'[7]TABLO-1'!I4:I32873,"=Uzun",'[7]TABLO-1'!D4:D32873,"=ŞARKÖY")/P8</f>
        <v>1.088235294117647</v>
      </c>
      <c r="K33" s="10">
        <f>SUMIFS('[7]TABLO-1'!T4:T32873,'[7]TABLO-1'!H4:H32873,"=Dağıtım-OG",'[7]TABLO-1'!J4:J32873,"=Şebeke İşletmecisi",'[7]TABLO-1'!K4:K32873,"=bildirimsiz",'[7]TABLO-1'!I4:I32873,"=Uzun",'[7]TABLO-1'!D4:D32873,"=ŞARKÖY")/P14</f>
        <v>1.5326158165652783</v>
      </c>
      <c r="L33" s="10">
        <f t="shared" si="12"/>
        <v>1.5298056356365666</v>
      </c>
      <c r="M33" s="11">
        <f t="shared" si="13"/>
        <v>0.84211895613192445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SUMIFS('[7]TABLO-1'!O4:O32873,'[7]TABLO-1'!H4:H32873,"=Dağıtım-OG",'[7]TABLO-1'!J4:J32873,"=Dışsal",'[7]TABLO-1'!K4:K32873,"=Bildirimsiz",'[7]TABLO-1'!I4:I32873,"=Uzun",'[7]TABLO-1'!D4:D32873,"=ŞARKÖY")/P6</f>
        <v>0</v>
      </c>
      <c r="E34" s="10">
        <f>SUMIFS('[7]TABLO-1'!P4:P32873,'[7]TABLO-1'!H4:H32873,"=Dağıtım-OG",'[7]TABLO-1'!J4:J32873,"=Dışsal",'[7]TABLO-1'!K4:K32873,"=Bildirimsiz",'[7]TABLO-1'!I4:I32873,"=Uzun",'[7]TABLO-1'!D4:D32873,"=ŞARKÖY")/P12</f>
        <v>0</v>
      </c>
      <c r="F34" s="10">
        <f t="shared" si="10"/>
        <v>0</v>
      </c>
      <c r="G34" s="10">
        <f>SUMIFS('[7]TABLO-1'!Q4:Q32873,'[7]TABLO-1'!H4:H32873,"=Dağıtım-OG",'[7]TABLO-1'!J4:J32873,"=Dışsal",'[7]TABLO-1'!K4:K32873,"=Bildirimsiz",'[7]TABLO-1'!I4:I32873,"=Uzun",'[7]TABLO-1'!D4:D32873,"=ŞARKÖY")/P7</f>
        <v>0</v>
      </c>
      <c r="H34" s="10">
        <f>SUMIFS('[7]TABLO-1'!R4:R32873,'[7]TABLO-1'!H4:H32873,"=Dağıtım-OG",'[7]TABLO-1'!J4:J32873,"=Dışsal",'[7]TABLO-1'!K4:K32873,"=Bildirimsiz",'[7]TABLO-1'!I4:I32873,"=Uzun",'[7]TABLO-1'!D4:D32873,"=ŞARKÖY")/P13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SUMIFS('[7]TABLO-1'!S4:S32873,'[7]TABLO-1'!H4:H32873,"=Dağıtım-OG",'[7]TABLO-1'!J4:J32873,"=Dışsal",'[7]TABLO-1'!K4:K32873,"=Bildirimsiz",'[7]TABLO-1'!I4:I32873,"=Uzun",'[7]TABLO-1'!D4:D32873,"=ŞARKÖY")/P8</f>
        <v>0</v>
      </c>
      <c r="K34" s="10">
        <f>SUMIFS('[7]TABLO-1'!T4:T32873,'[7]TABLO-1'!H4:H32873,"=Dağıtım-OG",'[7]TABLO-1'!J4:J32873,"=Dışsal",'[7]TABLO-1'!K4:K32873,"=bildirimsiz",'[7]TABLO-1'!I4:I32873,"=Uzun",'[7]TABLO-1'!D4:D32873,"=ŞARKÖY")/P14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Sebep",'[7]TABLO-1'!K4:K32873,"=Bildirimsiz",'[7]TABLO-1'!I4:I32873,"=Uzun",'[7]TABLO-1'!D4:D32873,"=ŞARKÖY")/P6</f>
        <v>0</v>
      </c>
      <c r="E35" s="10">
        <f>SUMIFS('[7]TABLO-1'!P4:P32873,'[7]TABLO-1'!H4:H32873,"=Dağıtım-OG",'[7]TABLO-1'!J4:J32873,"=Mücbir Sebep",'[7]TABLO-1'!K4:K32873,"=Bildirimsiz",'[7]TABLO-1'!I4:I32873,"=Uzun",'[7]TABLO-1'!D4:D32873,"=ŞARKÖY")/P12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Sebep",'[7]TABLO-1'!K4:K32873,"=Bildirimsiz",'[7]TABLO-1'!I4:I32873,"=Uzun",'[7]TABLO-1'!D4:D32873,"=ŞARKÖY")/P7</f>
        <v>0</v>
      </c>
      <c r="H35" s="10">
        <f>SUMIFS('[7]TABLO-1'!R4:R32873,'[7]TABLO-1'!H4:H32873,"=Dağıtım-OG",'[7]TABLO-1'!J4:J32873,"=Mücbir Sebep",'[7]TABLO-1'!K4:K32873,"=Bildirimsiz",'[7]TABLO-1'!I4:I32873,"=Uzun",'[7]TABLO-1'!D4:D32873,"=ŞARKÖY")/P13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Sebep",'[7]TABLO-1'!K4:K32873,"=Bildirimsiz",'[7]TABLO-1'!I4:I32873,"=Uzun",'[7]TABLO-1'!D4:D32873,"=ŞARKÖY")/P8</f>
        <v>0</v>
      </c>
      <c r="K35" s="10">
        <f>SUMIFS('[7]TABLO-1'!T4:T32873,'[7]TABLO-1'!H4:H32873,"=Dağıtım-OG",'[7]TABLO-1'!J4:J32873,"=Mücbir Sebep",'[7]TABLO-1'!K4:K32873,"=bildirimsiz",'[7]TABLO-1'!I4:I32873,"=Uzun",'[7]TABLO-1'!D4:D32873,"=ŞARKÖY")/P14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SUMIFS('[7]TABLO-1'!O4:O32873,'[7]TABLO-1'!H4:H32873,"=Dağıtım-OG",'[7]TABLO-1'!J4:J32873,"=Güvenlik",'[7]TABLO-1'!K4:K32873,"=Bildirimsiz",'[7]TABLO-1'!I4:I32873,"=Uzun",'[7]TABLO-1'!D4:D32873,"=ŞARKÖY")/P6</f>
        <v>0</v>
      </c>
      <c r="E36" s="10">
        <f>SUMIFS('[7]TABLO-1'!P4:P32873,'[7]TABLO-1'!H4:H32873,"=Dağıtım-OG",'[7]TABLO-1'!J4:J32873,"=Güvenlik",'[7]TABLO-1'!K4:K32873,"=Bildirimsiz",'[7]TABLO-1'!I4:I32873,"=Uzun",'[7]TABLO-1'!D4:D32873,"=ŞARKÖY")/P12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SUMIFS('[7]TABLO-1'!Q4:Q32873,'[7]TABLO-1'!H4:H32873,"=Dağıtım-OG",'[7]TABLO-1'!J4:J32873,"=Güvenlik",'[7]TABLO-1'!K4:K32873,"=Bildirimsiz",'[7]TABLO-1'!I4:I32873,"=Uzun",'[7]TABLO-1'!D4:D32873,"=ŞARKÖY")/P7</f>
        <v>0</v>
      </c>
      <c r="H36" s="10">
        <f>SUMIFS('[7]TABLO-1'!R4:R32873,'[7]TABLO-1'!H4:H32873,"=Dağıtım-OG",'[7]TABLO-1'!J4:J32873,"=Güvenlik",'[7]TABLO-1'!K4:K32873,"=Bildirimsiz",'[7]TABLO-1'!I4:I32873,"=Uzun",'[7]TABLO-1'!D4:D32873,"=ŞARKÖY")/P13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SUMIFS('[7]TABLO-1'!S4:S32873,'[7]TABLO-1'!H4:H32873,"=Dağıtım-OG",'[7]TABLO-1'!J4:J32873,"=Güvenlik",'[7]TABLO-1'!K4:K32873,"=Bildirimsiz",'[7]TABLO-1'!I4:I32873,"=Uzun",'[7]TABLO-1'!D4:D32873,"=ŞARKÖY")/P8</f>
        <v>0</v>
      </c>
      <c r="K36" s="10">
        <f>SUMIFS('[7]TABLO-1'!T4:T32873,'[7]TABLO-1'!H4:H32873,"=Dağıtım-OG",'[7]TABLO-1'!J4:J32873,"=Güvenlik",'[7]TABLO-1'!K4:K32873,"=bildirimsiz",'[7]TABLO-1'!I4:I32873,"=Uzun",'[7]TABLO-1'!D4:D32873,"=ŞARKÖY")/P14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İşletmecisi",'[7]TABLO-1'!K4:K32873,"=Bildirimsiz",'[7]TABLO-1'!I4:I32873,"=Uzun",'[7]TABLO-1'!D4:D32873,"=ŞARKÖY")/P6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İşletmecisi",'[7]TABLO-1'!K4:K32873,"=Bildirimsiz",'[7]TABLO-1'!I4:I32873,"=Uzun",'[7]TABLO-1'!D4:D32873,"=ŞARKÖY")/P12</f>
        <v>0.13940520446096655</v>
      </c>
      <c r="F37" s="10">
        <f t="shared" si="10"/>
        <v>0.1391465677179963</v>
      </c>
      <c r="G37" s="12">
        <f>SUMIFS('[7]TABLO-1'!Q4:Q32873,'[7]TABLO-1'!H4:H32873,"=Dağıtım-AG",'[7]TABLO-1'!J4:J32873,"=Şebeke İşletmecisi",'[7]TABLO-1'!K4:K32873,"=Bildirimsiz",'[7]TABLO-1'!I4:I32873,"=Uzun",'[7]TABLO-1'!D4:D32873,"=ŞARKÖY")/P7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İşletmecisi",'[7]TABLO-1'!K4:K32873,"=Bildirimsiz",'[7]TABLO-1'!I4:I32873,"=Uzun",'[7]TABLO-1'!D4:D32873,"=ŞARKÖY")/P13</f>
        <v>6.6290364925177217E-2</v>
      </c>
      <c r="I37" s="10">
        <f t="shared" si="11"/>
        <v>6.6208668746886232E-2</v>
      </c>
      <c r="J37" s="12">
        <f>SUMIFS('[7]TABLO-1'!S4:S32873,'[7]TABLO-1'!H4:H32873,"=Dağıtım-AG",'[7]TABLO-1'!J4:J32873,"=Şebeke İşletmecisi",'[7]TABLO-1'!K4:K32873,"=Bildirimsiz",'[7]TABLO-1'!I4:I32873,"=Uzun",'[7]TABLO-1'!D4:D32873,"=ŞARKÖY")/P8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İşletmecisi",'[7]TABLO-1'!K4:K32873,"=bildirimsiz",'[7]TABLO-1'!I4:I32873,"=Uzun",'[7]TABLO-1'!D4:D32873,"=ŞARKÖY")/P14</f>
        <v>3.9120262049602249E-2</v>
      </c>
      <c r="L37" s="10">
        <f t="shared" si="12"/>
        <v>3.8872872686692088E-2</v>
      </c>
      <c r="M37" s="11">
        <f t="shared" si="13"/>
        <v>6.1899615754082614E-2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SUMIFS('[7]TABLO-1'!O4:O32873,'[7]TABLO-1'!H4:H32873,"=Dağıtım-AG",'[7]TABLO-1'!J4:J32873,"=Dışsal",'[7]TABLO-1'!K4:K32873,"=Bildirimsiz",'[7]TABLO-1'!I4:I32873,"=Uzun",'[7]TABLO-1'!D4:D32873,"=ŞARKÖY")/P6</f>
        <v>0</v>
      </c>
      <c r="E38" s="10">
        <f>SUMIFS('[7]TABLO-1'!P4:P32873,'[7]TABLO-1'!H4:H32873,"=Dağıtım-AG",'[7]TABLO-1'!J4:J32873,"=Dışsal",'[7]TABLO-1'!K4:K32873,"=Bildirimsiz",'[7]TABLO-1'!I4:I32873,"=Uzun",'[7]TABLO-1'!D4:D32873,"=ŞARKÖY")/P12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SUMIFS('[7]TABLO-1'!Q4:Q32873,'[7]TABLO-1'!H4:H32873,"=Dağıtım-AG",'[7]TABLO-1'!J4:J32873,"=Dışsal",'[7]TABLO-1'!K4:K32873,"=Bildirimsiz",'[7]TABLO-1'!I4:I32873,"=Uzun",'[7]TABLO-1'!D4:D32873,"=ŞARKÖY")/P7</f>
        <v>0</v>
      </c>
      <c r="H38" s="10">
        <f>SUMIFS('[7]TABLO-1'!R4:R32873,'[7]TABLO-1'!H4:H32873,"=Dağıtım-AG",'[7]TABLO-1'!J4:J32873,"=Dışsal",'[7]TABLO-1'!K4:K32873,"=Bildirimsiz",'[7]TABLO-1'!I4:I32873,"=Uzun",'[7]TABLO-1'!D4:D32873,"=ŞARKÖY")/P13</f>
        <v>7.6660540824363349E-3</v>
      </c>
      <c r="I38" s="10">
        <f t="shared" si="11"/>
        <v>7.6566064451844664E-3</v>
      </c>
      <c r="J38" s="12">
        <f>SUMIFS('[7]TABLO-1'!S4:S32873,'[7]TABLO-1'!H4:H32873,"=Dağıtım-AG",'[7]TABLO-1'!J4:J32873,"=Dışsal",'[7]TABLO-1'!K4:K32873,"=Bildirimsiz",'[7]TABLO-1'!I4:I32873,"=Uzun",'[7]TABLO-1'!D4:D32873,"=ŞARKÖY")/P8</f>
        <v>0</v>
      </c>
      <c r="K38" s="10">
        <f>SUMIFS('[7]TABLO-1'!T4:T32873,'[7]TABLO-1'!H4:H32873,"=Dağıtım-AG",'[7]TABLO-1'!J4:J32873,"=Dışsal",'[7]TABLO-1'!K4:K32873,"=bildirimsiz",'[7]TABLO-1'!I4:I32873,"=Uzun",'[7]TABLO-1'!D4:D32873,"=ŞARKÖY")/P14</f>
        <v>3.7435657463734206E-4</v>
      </c>
      <c r="L38" s="10">
        <f t="shared" si="12"/>
        <v>3.719892123128429E-4</v>
      </c>
      <c r="M38" s="11">
        <f t="shared" si="13"/>
        <v>5.923791226384886E-3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Sebep",'[7]TABLO-1'!K4:K32873,"=Bildirimsiz",'[7]TABLO-1'!I4:I32873,"=Uzun",'[7]TABLO-1'!D4:D32873,"=ŞARKÖY")/P6</f>
        <v>0</v>
      </c>
      <c r="E39" s="10">
        <f>SUMIFS('[7]TABLO-1'!P4:P32873,'[7]TABLO-1'!H4:H32873,"=Dağıtım-AG",'[7]TABLO-1'!J4:J32873,"=Mücbir Sebep",'[7]TABLO-1'!K4:K32873,"=Bildirimsiz",'[7]TABLO-1'!I4:I32873,"=Uzun",'[7]TABLO-1'!D4:D32873,"=ŞARKÖY")/P12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Sebep",'[7]TABLO-1'!K4:K32873,"=Bildirimsiz",'[7]TABLO-1'!I4:I32873,"=Uzun",'[7]TABLO-1'!D4:D32873,"=ŞARKÖY")/P7</f>
        <v>0</v>
      </c>
      <c r="H39" s="10">
        <f>SUMIFS('[7]TABLO-1'!R4:R32873,'[7]TABLO-1'!H4:H32873,"=Dağıtım-AG",'[7]TABLO-1'!J4:J32873,"=Mücbir Sebep",'[7]TABLO-1'!K4:K32873,"=Bildirimsiz",'[7]TABLO-1'!I4:I32873,"=Uzun",'[7]TABLO-1'!D4:D32873,"=ŞARKÖY")/P13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Sebep",'[7]TABLO-1'!K4:K32873,"=Bildirimsiz",'[7]TABLO-1'!I4:I32873,"=Uzun",'[7]TABLO-1'!D4:D32873,"=ŞARKÖY")/P8</f>
        <v>0</v>
      </c>
      <c r="K39" s="10">
        <f>SUMIFS('[7]TABLO-1'!T4:T32873,'[7]TABLO-1'!H4:H32873,"=Dağıtım-AG",'[7]TABLO-1'!J4:J32873,"=Mücbir Sebep",'[7]TABLO-1'!K4:K32873,"=bildirimsiz",'[7]TABLO-1'!I4:I32873,"=Uzun",'[7]TABLO-1'!D4:D32873,"=ŞARKÖY")/P14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SUMIFS('[7]TABLO-1'!O4:O32873,'[7]TABLO-1'!H4:H32873,"=Dağıtım-AG",'[7]TABLO-1'!J4:J32873,"=Güvenlik",'[7]TABLO-1'!K4:K32873,"=Bildirimsiz",'[7]TABLO-1'!I4:I32873,"=Uzun",'[7]TABLO-1'!D4:D32873,"=ŞARKÖY")/P6</f>
        <v>0</v>
      </c>
      <c r="E40" s="10">
        <f>SUMIFS('[7]TABLO-1'!P4:P32873,'[7]TABLO-1'!H4:H32873,"=Dağıtım-AG",'[7]TABLO-1'!J4:J32873,"=Güvenlik",'[7]TABLO-1'!K4:K32873,"=Bildirimsiz",'[7]TABLO-1'!I4:I32873,"=Uzun",'[7]TABLO-1'!D4:D32873,"=ŞARKÖY")/P12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SUMIFS('[7]TABLO-1'!Q4:Q32873,'[7]TABLO-1'!H4:H32873,"=Dağıtım-AG",'[7]TABLO-1'!J4:J32873,"=Güvenlik",'[7]TABLO-1'!K4:K32873,"=Bildirimsiz",'[7]TABLO-1'!I4:I32873,"=Uzun",'[7]TABLO-1'!D4:D32873,"=ŞARKÖY")/P7</f>
        <v>0</v>
      </c>
      <c r="H40" s="10">
        <f>SUMIFS('[7]TABLO-1'!R4:R32873,'[7]TABLO-1'!H4:H32873,"=Dağıtım-AG",'[7]TABLO-1'!J4:J32873,"=Güvenlik",'[7]TABLO-1'!K4:K32873,"=Bildirimsiz",'[7]TABLO-1'!I4:I32873,"=Uzun",'[7]TABLO-1'!D4:D32873,"=ŞARKÖY")/P13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SUMIFS('[7]TABLO-1'!S4:S32873,'[7]TABLO-1'!H4:H32873,"=Dağıtım-AG",'[7]TABLO-1'!J4:J32873,"=Güvenlik",'[7]TABLO-1'!K4:K32873,"=Bildirimsiz",'[7]TABLO-1'!I4:I32873,"=Uzun",'[7]TABLO-1'!D4:D32873,"=ŞARKÖY")/P8</f>
        <v>0</v>
      </c>
      <c r="K40" s="10">
        <f>SUMIFS('[7]TABLO-1'!T4:T32873,'[7]TABLO-1'!H4:H32873,"=Dağıtım-AG",'[7]TABLO-1'!J4:J32873,"=Güvenlik",'[7]TABLO-1'!K4:K32873,"=bildirimsiz",'[7]TABLO-1'!I4:I32873,"=Uzun",'[7]TABLO-1'!D4:D32873,"=ŞARKÖY")/P14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7.5</v>
      </c>
      <c r="E41" s="10">
        <f t="shared" ref="E41:M41" si="14">SUM(E31:E40)</f>
        <v>1.2434944237918215</v>
      </c>
      <c r="F41" s="10">
        <f t="shared" si="14"/>
        <v>1.2551020408163265</v>
      </c>
      <c r="G41" s="10">
        <f t="shared" si="14"/>
        <v>0.42553191489361702</v>
      </c>
      <c r="H41" s="10">
        <f t="shared" si="14"/>
        <v>0.71470202152796014</v>
      </c>
      <c r="I41" s="10">
        <f t="shared" si="14"/>
        <v>0.71434564858274119</v>
      </c>
      <c r="J41" s="10">
        <f t="shared" si="14"/>
        <v>1.088235294117647</v>
      </c>
      <c r="K41" s="10">
        <f t="shared" si="14"/>
        <v>1.5721104351895179</v>
      </c>
      <c r="L41" s="10">
        <f t="shared" si="14"/>
        <v>1.5690504975355715</v>
      </c>
      <c r="M41" s="10">
        <f t="shared" si="14"/>
        <v>0.90994236311239196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İşletmecisi",'[7]TABLO-1'!K4:K32873,"=Bildirimli",'[7]TABLO-1'!I4:I32873,"=Uzun",'[7]TABLO-1'!D4:D32873,"=ŞARKÖY")/P6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İşletmecisi",'[7]TABLO-1'!K4:K32873,"=Bildirimli",'[7]TABLO-1'!I4:I32873,"=Uzun",'[7]TABLO-1'!D4:D32873,"=ŞARKÖY")/P12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İşletmecisi",'[7]TABLO-1'!K4:K32873,"=Bildirimli",'[7]TABLO-1'!I4:I32873,"=Uzun",'[7]TABLO-1'!D4:D32873,"=ŞARKÖY")/P7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İşletmecisi",'[7]TABLO-1'!K4:K32873,"=Bildirimli",'[7]TABLO-1'!I4:I32873,"=Uzun",'[7]TABLO-1'!D4:D32873,"=ŞARKÖY")/P13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İşletmecisi",'[7]TABLO-1'!K4:K32873,"=Bildirimli",'[7]TABLO-1'!I4:I32873,"=Uzun",'[7]TABLO-1'!D4:D32873,"=ŞARKÖY")/P8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İşletmecisi",'[7]TABLO-1'!K4:K32873,"=bildirimli",'[7]TABLO-1'!I4:I32873,"=Uzun",'[7]TABLO-1'!D4:D32873,"=ŞARKÖY")/P14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İşletmecisi",'[7]TABLO-1'!K4:K32873,"=Bildirimli",'[7]TABLO-1'!I4:I32873,"=Uzun",'[7]TABLO-1'!D4:D32873,"=ŞARKÖY")/P6</f>
        <v>6.5</v>
      </c>
      <c r="E47" s="10">
        <f>SUMIFS('[7]TABLO-1'!P4:P32873,'[7]TABLO-1'!H4:H32873,"=Dağıtım-OG",'[7]TABLO-1'!J4:J32873,"=Şebeke İşletmecisi",'[7]TABLO-1'!K4:K32873,"=Bildirimli",'[7]TABLO-1'!I4:I32873,"=Uzun",'[7]TABLO-1'!D4:D32873,"=ŞARKÖY")/P12</f>
        <v>0.65241635687732347</v>
      </c>
      <c r="F47" s="10">
        <f t="shared" ref="F47:F50" si="15">IFERROR((((D47*$P$6)+(E47*$P$12))/$P$17),"0,00")</f>
        <v>0.66326530612244894</v>
      </c>
      <c r="G47" s="10">
        <f>SUMIFS('[7]TABLO-1'!Q4:Q32873,'[7]TABLO-1'!H4:H32873,"=Dağıtım-OG",'[7]TABLO-1'!J4:J32873,"=Şebeke İşletmecisi",'[7]TABLO-1'!K4:K32873,"=Bildirimli",'[7]TABLO-1'!I4:I32873,"=Uzun",'[7]TABLO-1'!D4:D32873,"=ŞARKÖY")/P7</f>
        <v>0.10638297872340426</v>
      </c>
      <c r="H47" s="10">
        <f>SUMIFS('[7]TABLO-1'!R4:R32873,'[7]TABLO-1'!H4:H32873,"=Dağıtım-OG",'[7]TABLO-1'!J4:J32873,"=Şebeke İşletmecisi",'[7]TABLO-1'!K4:K32873,"=Bildirimli",'[7]TABLO-1'!I4:I32873,"=Uzun",'[7]TABLO-1'!D4:D32873,"=ŞARKÖY")/P13</f>
        <v>1.1866631661853505E-2</v>
      </c>
      <c r="I47" s="10">
        <f t="shared" ref="I47:I50" si="16">IFERROR((((G47*$P$7)+(H47*$P$13))/$P$20),"0,00")</f>
        <v>1.1983113511812676E-2</v>
      </c>
      <c r="J47" s="10">
        <f>SUMIFS('[7]TABLO-1'!S4:S32873,'[7]TABLO-1'!H4:H32873,"=Dağıtım-OG",'[7]TABLO-1'!J4:J32873,"=Şebeke İşletmecisi",'[7]TABLO-1'!K4:K32873,"=Bildirimli",'[7]TABLO-1'!I4:I32873,"=Uzun",'[7]TABLO-1'!D4:D32873,"=ŞARKÖY")/P8</f>
        <v>0.19117647058823528</v>
      </c>
      <c r="K47" s="10">
        <f>SUMIFS('[7]TABLO-1'!T4:T32873,'[7]TABLO-1'!H4:H32873,"=Dağıtım-OG",'[7]TABLO-1'!J4:J32873,"=Şebeke İşletmecisi",'[7]TABLO-1'!K4:K32873,"=bildirimli",'[7]TABLO-1'!I4:I32873,"=Uzun",'[7]TABLO-1'!D4:D32873,"=ŞARKÖY")/P14</f>
        <v>0.28263921385119328</v>
      </c>
      <c r="L47" s="10">
        <f t="shared" ref="L47:L50" si="17">IFERROR((((J47*$P$8)+(K47*$P$14))/$P$23),"0,00")</f>
        <v>0.28206082023621315</v>
      </c>
      <c r="M47" s="11">
        <f t="shared" ref="M47:M50" si="18">IFERROR((((F47*$P$17)+(I47*$P$20)+(L47*$P$23))/$P$26),"0,00")</f>
        <v>8.4153858469420431E-2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SUMIFS('[7]TABLO-1'!O4:O32873,'[7]TABLO-1'!H4:H32873,"=Dağıtım-OG",'[7]TABLO-1'!J4:J32873,"=Güvenlik",'[7]TABLO-1'!K4:K32873,"=Bildirimli",'[7]TABLO-1'!I4:I32873,"=Uzun",'[7]TABLO-1'!D4:D32873,"=ŞARKÖY")/P6</f>
        <v>0</v>
      </c>
      <c r="E48" s="10">
        <f>SUMIFS('[7]TABLO-1'!P4:P32873,'[7]TABLO-1'!H4:H32873,"=Dağıtım-OG",'[7]TABLO-1'!J4:J32873,"=Güvenlik",'[7]TABLO-1'!K4:K32873,"=Bildirimli",'[7]TABLO-1'!I4:I32873,"=Uzun",'[7]TABLO-1'!D4:D32873,"=ŞARKÖY")/P12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SUMIFS('[7]TABLO-1'!Q4:Q32873,'[7]TABLO-1'!H4:H32873,"=Dağıtım-OG",'[7]TABLO-1'!J4:J32873,"=Güvenlik",'[7]TABLO-1'!K4:K32873,"=Bildirimli",'[7]TABLO-1'!I4:I32873,"=Uzun",'[7]TABLO-1'!D4:D32873,"=ŞARKÖY")/P7</f>
        <v>0</v>
      </c>
      <c r="H48" s="10">
        <f>SUMIFS('[7]TABLO-1'!R4:R32873,'[7]TABLO-1'!H4:H32873,"=Dağıtım-OG",'[7]TABLO-1'!J4:J32873,"=Güvenlik",'[7]TABLO-1'!K4:K32873,"=Bildirimli",'[7]TABLO-1'!I4:I32873,"=Uzun",'[7]TABLO-1'!D4:D32873,"=ŞARKÖY")/P13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SUMIFS('[7]TABLO-1'!S4:S32873,'[7]TABLO-1'!H4:H32873,"=Dağıtım-OG",'[7]TABLO-1'!J4:J32873,"=Güvenlik",'[7]TABLO-1'!K4:K32873,"=Bildirimli",'[7]TABLO-1'!I4:I32873,"=Uzun",'[7]TABLO-1'!D4:D32873,"=ŞARKÖY")/P8</f>
        <v>0</v>
      </c>
      <c r="K48" s="10">
        <f>SUMIFS('[7]TABLO-1'!T4:T32873,'[7]TABLO-1'!H4:H32873,"=Dağıtım-OG",'[7]TABLO-1'!J4:J32873,"=Güvenlik",'[7]TABLO-1'!K4:K32873,"=bildirimli",'[7]TABLO-1'!I4:I32873,"=Uzun",'[7]TABLO-1'!D4:D32873,"=ŞARKÖY")/P14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İşletmecisi",'[7]TABLO-1'!K4:K32873,"=Bildirimli",'[7]TABLO-1'!I4:I32873,"=Uzun",'[7]TABLO-1'!D4:D32873,"=ŞARKÖY")/P6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İşletmecisi",'[7]TABLO-1'!K4:K32873,"=Bildirimli",'[7]TABLO-1'!I4:I32873,"=Uzun",'[7]TABLO-1'!D4:D32873,"=ŞARKÖY")/P12</f>
        <v>0</v>
      </c>
      <c r="F49" s="10">
        <f t="shared" si="15"/>
        <v>0</v>
      </c>
      <c r="G49" s="12">
        <f>SUMIFS('[7]TABLO-1'!Q4:Q32873,'[7]TABLO-1'!H4:H32873,"=Dağıtım-AG",'[7]TABLO-1'!J4:J32873,"=Şebeke İşletmecisi",'[7]TABLO-1'!K4:K32873,"=Bildirimli",'[7]TABLO-1'!I4:I32873,"=Uzun",'[7]TABLO-1'!D4:D32873,"=ŞARKÖY")/P7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İşletmecisi",'[7]TABLO-1'!K4:K32873,"=Bildirimli",'[7]TABLO-1'!I4:I32873,"=Uzun",'[7]TABLO-1'!D4:D32873,"=ŞARKÖY")/P13</f>
        <v>1.0107639800472565E-2</v>
      </c>
      <c r="I49" s="10">
        <f t="shared" si="16"/>
        <v>1.0095183155465821E-2</v>
      </c>
      <c r="J49" s="12">
        <f>SUMIFS('[7]TABLO-1'!S4:S32873,'[7]TABLO-1'!H4:H32873,"=Dağıtım-AG",'[7]TABLO-1'!J4:J32873,"=Şebeke İşletmecisi",'[7]TABLO-1'!K4:K32873,"=Bildirimli",'[7]TABLO-1'!I4:I32873,"=Uzun",'[7]TABLO-1'!D4:D32873,"=ŞARKÖY")/P8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İşletmecisi",'[7]TABLO-1'!K4:K32873,"=bildirimli",'[7]TABLO-1'!I4:I32873,"=Uzun",'[7]TABLO-1'!D4:D32873,"=ŞARKÖY")/P14</f>
        <v>1.169864295741694E-2</v>
      </c>
      <c r="L49" s="10">
        <f t="shared" si="17"/>
        <v>1.1624662884776342E-2</v>
      </c>
      <c r="M49" s="11">
        <f t="shared" si="18"/>
        <v>1.0206532180595583E-2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SUMIFS('[7]TABLO-1'!O4:O32873,'[7]TABLO-1'!H4:H32873,"=Dağıtım-AG",'[7]TABLO-1'!J4:J32873,"=Güvenlik",'[7]TABLO-1'!K4:K32873,"=Bildirimli",'[7]TABLO-1'!I4:I32873,"=Uzun",'[7]TABLO-1'!D4:D32873,"=ŞARKÖY")/P6</f>
        <v>0</v>
      </c>
      <c r="E50" s="10">
        <f>SUMIFS('[7]TABLO-1'!P4:P32873,'[7]TABLO-1'!H4:H32873,"=Dağıtım-AG",'[7]TABLO-1'!J4:J32873,"=Güvenlik",'[7]TABLO-1'!K4:K32873,"=Bildirimli",'[7]TABLO-1'!I4:I32873,"=Uzun",'[7]TABLO-1'!D4:D32873,"=ŞARKÖY")/P12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SUMIFS('[7]TABLO-1'!Q4:Q32873,'[7]TABLO-1'!H4:H32873,"=Dağıtım-AG",'[7]TABLO-1'!J4:J32873,"=Güvenlik",'[7]TABLO-1'!K4:K32873,"=Bildirimli",'[7]TABLO-1'!I4:I32873,"=Uzun",'[7]TABLO-1'!D4:D32873,"=ŞARKÖY")/P7</f>
        <v>0</v>
      </c>
      <c r="H50" s="10">
        <f>SUMIFS('[7]TABLO-1'!R4:R32873,'[7]TABLO-1'!H4:H32873,"=Dağıtım-AG",'[7]TABLO-1'!J4:J32873,"=Güvenlik",'[7]TABLO-1'!K4:K32873,"=Bildirimli",'[7]TABLO-1'!I4:I32873,"=Uzun",'[7]TABLO-1'!D4:D32873,"=ŞARKÖY")/P13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SUMIFS('[7]TABLO-1'!S4:S32873,'[7]TABLO-1'!H4:H32873,"=Dağıtım-AG",'[7]TABLO-1'!J4:J32873,"=Güvenlik",'[7]TABLO-1'!K4:K32873,"=Bildirimli",'[7]TABLO-1'!I4:I32873,"=Uzun",'[7]TABLO-1'!D4:D32873,"=ŞARKÖY")/P8</f>
        <v>0</v>
      </c>
      <c r="K50" s="10">
        <f>SUMIFS('[7]TABLO-1'!T4:T32873,'[7]TABLO-1'!H4:H32873,"=Dağıtım-AG",'[7]TABLO-1'!J4:J32873,"=Güvenlik",'[7]TABLO-1'!K4:K32873,"=bildirimli",'[7]TABLO-1'!I4:I32873,"=Uzun",'[7]TABLO-1'!D4:D32873,"=ŞARKÖY")/P14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6.5</v>
      </c>
      <c r="E51" s="10">
        <f t="shared" ref="E51:M51" si="19">SUM(E46:E50)</f>
        <v>0.65241635687732347</v>
      </c>
      <c r="F51" s="10">
        <f t="shared" si="19"/>
        <v>0.66326530612244894</v>
      </c>
      <c r="G51" s="10">
        <f t="shared" si="19"/>
        <v>0.10638297872340426</v>
      </c>
      <c r="H51" s="10">
        <f t="shared" si="19"/>
        <v>2.197427146232607E-2</v>
      </c>
      <c r="I51" s="10">
        <f t="shared" si="19"/>
        <v>2.2078296667278497E-2</v>
      </c>
      <c r="J51" s="10">
        <f t="shared" si="19"/>
        <v>0.19117647058823528</v>
      </c>
      <c r="K51" s="10">
        <f t="shared" si="19"/>
        <v>0.29433785680861024</v>
      </c>
      <c r="L51" s="10">
        <f t="shared" si="19"/>
        <v>0.29368548312098947</v>
      </c>
      <c r="M51" s="10">
        <f t="shared" si="19"/>
        <v>9.4360390650016016E-2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SUMIFS('[7]TABLO-1'!O1:O32873,'[7]TABLO-1'!H1:H32873,"=İletim",'[7]TABLO-1'!K1:K32873,"=Bildirimsiz",'[7]TABLO-1'!I1:I32873,"=Kısa",'[7]TABLO-1'!D1:D32873,"=ŞARKÖY")/P6</f>
        <v>0</v>
      </c>
      <c r="D56" s="10">
        <f>SUMIFS('[7]TABLO-1'!P1:P32873,'[7]TABLO-1'!H1:H32873,"=İletim",'[7]TABLO-1'!K1:K32873,"=Bildirimsiz",'[7]TABLO-1'!I1:I32873,"=Kısa",'[7]TABLO-1'!D1:D32873,"=ŞARKÖY")/P12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SUMIFS('[7]TABLO-1'!Q1:Q32873,'[7]TABLO-1'!H1:H32873,"=İletim",'[7]TABLO-1'!K1:K32873,"=Bildirimsiz",'[7]TABLO-1'!I1:I32873,"=Kısa",'[7]TABLO-1'!D1:D32873,"=ŞARKÖY")/P7</f>
        <v>0</v>
      </c>
      <c r="G56" s="10">
        <f>SUMIFS('[7]TABLO-1'!R1:R32873,'[7]TABLO-1'!H1:H32873,"=İletim",'[7]TABLO-1'!K1:K32873,"=Bildirimsiz",'[7]TABLO-1'!I1:I32873,"=Kısa",'[7]TABLO-1'!D1:D32873,"=ŞARKÖY")/P13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SUMIFS('[7]TABLO-1'!S1:S32873,'[7]TABLO-1'!H1:H32873,"=İletim",'[7]TABLO-1'!K1:K32873,"=Bildirimsiz",'[7]TABLO-1'!I1:I32873,"=Kısa",'[7]TABLO-1'!D1:D32873,"=ŞARKÖY")/P8</f>
        <v>0</v>
      </c>
      <c r="J56" s="10">
        <f>SUMIFS('[7]TABLO-1'!T1:T32873,'[7]TABLO-1'!H1:H32873,"=İletim",'[7]TABLO-1'!K1:K32873,"=Bildirimsiz",'[7]TABLO-1'!I1:I32873,"=Kısa",'[7]TABLO-1'!D1:D32873,"=ŞARKÖY")/P14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SUMIFS('[7]TABLO-1'!O4:O32873,'[7]TABLO-1'!H4:H32873,"=Dağıtım-OG",'[7]TABLO-1'!K4:K32873,"=Bildirimsiz",'[7]TABLO-1'!I4:I32873,"=Kısa",'[7]TABLO-1'!D4:D32873,"=ŞARKÖY")/P6</f>
        <v>0</v>
      </c>
      <c r="D57" s="10">
        <f>SUMIFS('[7]TABLO-1'!P4:P32873,'[7]TABLO-1'!H4:H32873,"=Dağıtım-OG",'[7]TABLO-1'!K4:K32873,"=Bildirimsiz",'[7]TABLO-1'!I4:I32873,"=Kısa",'[7]TABLO-1'!D4:D32873,"=ŞARKÖY")/P12</f>
        <v>0</v>
      </c>
      <c r="E57" s="10">
        <f>IFERROR((((C57*$P$6)+(D57*$P$12))/$P$17),"0,00")</f>
        <v>0</v>
      </c>
      <c r="F57" s="10">
        <f>SUMIFS('[7]TABLO-1'!Q4:Q32873,'[7]TABLO-1'!H4:H32873,"=Dağıtım-OG",'[7]TABLO-1'!K4:K32873,"=Bildirimsiz",'[7]TABLO-1'!I4:I32873,"=Kısa",'[7]TABLO-1'!D4:D32873,"=ŞARKÖY")/P7</f>
        <v>0</v>
      </c>
      <c r="G57" s="10">
        <f>SUMIFS('[7]TABLO-1'!R4:R32873,'[7]TABLO-1'!H4:H32873,"=Dağıtım-OG",'[7]TABLO-1'!K4:K32873,"=Bildirimsiz",'[7]TABLO-1'!I4:I32873,"=Kısa",'[7]TABLO-1'!D4:D32873,"=ŞARKÖY")/P13</f>
        <v>3.4129692832764506E-2</v>
      </c>
      <c r="H57" s="10">
        <f>IFERROR((((F57*$P$7)+(G57*$P$13))/$P$20),"0,00")</f>
        <v>3.4087631434040436E-2</v>
      </c>
      <c r="I57" s="10">
        <f>SUMIFS('[7]TABLO-1'!S4:S32873,'[7]TABLO-1'!H4:H32873,"=Dağıtım-OG",'[7]TABLO-1'!K4:K32873,"=Bildirimsiz",'[7]TABLO-1'!I4:I32873,"=Kısa",'[7]TABLO-1'!D4:D32873,"=ŞARKÖY")/P8</f>
        <v>0</v>
      </c>
      <c r="J57" s="10">
        <f>SUMIFS('[7]TABLO-1'!T4:T32873,'[7]TABLO-1'!H4:H32873,"=Dağıtım-OG",'[7]TABLO-1'!K4:K32873,"=Bildirimsiz",'[7]TABLO-1'!I4:I32873,"=Kısa",'[7]TABLO-1'!D4:D32873,"=ŞARKÖY")/P14</f>
        <v>9.3589143659335514E-5</v>
      </c>
      <c r="K57" s="10">
        <f>IFERROR((((I57*$P$8)+(J57*$P$14))/$P$23),"0,00")</f>
        <v>9.2997303078210726E-5</v>
      </c>
      <c r="L57" s="11">
        <f>IFERROR((((E57*$P$17)+(H57*$P$20)+(K57*$P$23))/$P$26),"0,00")</f>
        <v>2.6036663464617357E-2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SUMIFS('[7]TABLO-1'!O4:O32873,'[7]TABLO-1'!H4:H32873,"=Dağıtım-AG",'[7]TABLO-1'!K4:K32873,"=Bildirimsiz",'[7]TABLO-1'!I4:I32873,"=Kısa",'[7]TABLO-1'!D4:D32873,"=ŞARKÖY")/P6</f>
        <v>0</v>
      </c>
      <c r="D58" s="10">
        <f>SUMIFS('[7]TABLO-1'!P4:P32873,'[7]TABLO-1'!H4:H32873,"=Dağıtım-AG",'[7]TABLO-1'!K4:K32873,"=Bildirimsiz",'[7]TABLO-1'!I4:I32873,"=Kısa",'[7]TABLO-1'!D4:D32873,"=ŞARKÖY")/P12</f>
        <v>0</v>
      </c>
      <c r="E58" s="10">
        <f>IFERROR((((C58*$P$6)+(D58*$P$12))/$P$17),"0,00")</f>
        <v>0</v>
      </c>
      <c r="F58" s="10">
        <f>SUMIFS('[7]TABLO-1'!Q4:Q32873,'[7]TABLO-1'!H4:H32873,"=Dağıtım-AG",'[7]TABLO-1'!K4:K32873,"=Bildirimsiz",'[7]TABLO-1'!I4:I32873,"=Kısa",'[7]TABLO-1'!D4:D32873,"=ŞARKÖY")/P7</f>
        <v>0</v>
      </c>
      <c r="G58" s="10">
        <f>SUMIFS('[7]TABLO-1'!R4:R32873,'[7]TABLO-1'!H4:H32873,"=Dağıtım-AG",'[7]TABLO-1'!K4:K32873,"=Bildirimsiz",'[7]TABLO-1'!I4:I32873,"=Kısa",'[7]TABLO-1'!D4:D32873,"=ŞARKÖY")/P13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SUMIFS('[7]TABLO-1'!S4:S32873,'[7]TABLO-1'!H4:H32873,"=Dağıtım-AG",'[7]TABLO-1'!K4:K32873,"=Bildirimsiz",'[7]TABLO-1'!I4:I32873,"=Kısa",'[7]TABLO-1'!D4:D32873,"=ŞARKÖY")/P8</f>
        <v>0</v>
      </c>
      <c r="J58" s="10">
        <f>SUMIFS('[7]TABLO-1'!T4:T32873,'[7]TABLO-1'!H4:H32873,"=Dağıtım-AG",'[7]TABLO-1'!K4:K32873,"=Bildirimsiz",'[7]TABLO-1'!I4:I32873,"=Kısa",'[7]TABLO-1'!D4:D32873,"=ŞARKÖY")/P14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0</v>
      </c>
      <c r="E59" s="10">
        <f t="shared" si="20"/>
        <v>0</v>
      </c>
      <c r="F59" s="10">
        <f t="shared" si="20"/>
        <v>0</v>
      </c>
      <c r="G59" s="10">
        <f t="shared" si="20"/>
        <v>3.4129692832764506E-2</v>
      </c>
      <c r="H59" s="10">
        <f t="shared" si="20"/>
        <v>3.4087631434040436E-2</v>
      </c>
      <c r="I59" s="10">
        <f t="shared" si="20"/>
        <v>0</v>
      </c>
      <c r="J59" s="10">
        <f t="shared" si="20"/>
        <v>9.3589143659335514E-5</v>
      </c>
      <c r="K59" s="10">
        <f t="shared" si="20"/>
        <v>9.2997303078210726E-5</v>
      </c>
      <c r="L59" s="10">
        <f t="shared" si="20"/>
        <v>2.6036663464617357E-2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2</v>
      </c>
      <c r="D65" s="27">
        <f>P12</f>
        <v>1076</v>
      </c>
      <c r="E65" s="27">
        <f>C65+D65</f>
        <v>1078</v>
      </c>
      <c r="F65" s="17">
        <f>P7</f>
        <v>47</v>
      </c>
      <c r="G65" s="27">
        <f>P13</f>
        <v>38090</v>
      </c>
      <c r="H65" s="17">
        <f>SUM(F65:G65)</f>
        <v>38137</v>
      </c>
      <c r="I65" s="17">
        <f>P8</f>
        <v>68</v>
      </c>
      <c r="J65" s="27">
        <f>P14</f>
        <v>10685</v>
      </c>
      <c r="K65" s="17">
        <f>SUM(I65:J65)</f>
        <v>10753</v>
      </c>
      <c r="L65" s="17">
        <f>H65+E65+K65</f>
        <v>49968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Q71"/>
  <sheetViews>
    <sheetView zoomScale="50" zoomScaleNormal="50" workbookViewId="0">
      <selection activeCell="R41" sqref="R4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İşletmecisi",'[7]TABLO-1'!K4:K32873,"=Bildirimsiz",'[7]TABLO-1'!I4:I32873,"=Uzun",'[7]TABLO-1'!C4:C32873,"=KIRKLARELİ")/P6</f>
        <v>0</v>
      </c>
      <c r="E6" s="10">
        <f>SUMIFS('[7]TABLO-1'!V4:V32873,'[7]TABLO-1'!H4:H32873,"=İletim",'[7]TABLO-1'!J4:J32873,"=Şebeke İşletmecisi",'[7]TABLO-1'!K4:K32873,"=Bildirimsiz",'[7]TABLO-1'!I4:I32873,"=Uzun",'[7]TABLO-1'!C4:C32873,"=KIRKLARELİ")/P12</f>
        <v>5.7587629034383319E-4</v>
      </c>
      <c r="F6" s="10">
        <f>IFERROR((((D6*$P$6)+(E6*$P$12))/$P$17),"0,00")</f>
        <v>5.7319600248858333E-4</v>
      </c>
      <c r="G6" s="10">
        <f>SUMIFS('[7]TABLO-1'!W4:W32873,'[7]TABLO-1'!H4:H32873,"=İletim",'[7]TABLO-1'!J4:J32873,"=Şebeke İşletmecisi",'[7]TABLO-1'!K4:K32873,"=Bildirimsiz",'[7]TABLO-1'!I4:I32873,"=Uzun",'[7]TABLO-1'!C4:C32873,"=KIRKLARELİ")/P7</f>
        <v>0.17004219405470958</v>
      </c>
      <c r="H6" s="10">
        <f>SUMIFS('[7]TABLO-1'!X4:X32873,'[7]TABLO-1'!H4:H32873,"=İletim",'[7]TABLO-1'!J4:J32873,"=Şebeke İşletmecisi",'[7]TABLO-1'!K4:K32873,"=Bildirimsiz",'[7]TABLO-1'!I4:I32873,"=Uzun",'[7]TABLO-1'!C4:C32873,"=KIRKLARELİ")/P13</f>
        <v>0</v>
      </c>
      <c r="I6" s="10">
        <f>IFERROR((((G6*$P$7)+(H6*$P$13))/$P$20),"0,00")</f>
        <v>1.4204345187076573E-3</v>
      </c>
      <c r="J6" s="10">
        <f>SUMIFS('[7]TABLO-1'!Y4:Y32873,'[7]TABLO-1'!H4:H32873,"=İletim",'[7]TABLO-1'!J4:J32873,"=Şebeke İşletmecisi",'[7]TABLO-1'!K4:K32873,"=Bildirimsiz",'[7]TABLO-1'!I4:I32873,"=Uzun",'[7]TABLO-1'!C4:C32873,"=KIRKLARELİ")/P8</f>
        <v>0.20603271979021559</v>
      </c>
      <c r="K6" s="10">
        <f>SUMIFS('[7]TABLO-1'!Z4:Z32873,'[7]TABLO-1'!H4:H32873,"=İletim",'[7]TABLO-1'!J4:J32873,"=Şebeke İşletmecisi",'[7]TABLO-1'!K4:K32873,"=Bildirimsiz",'[7]TABLO-1'!I4:I32873,"=Uzun",'[7]TABLO-1'!C4:C32873,"=KIRKLARELİ")/P14</f>
        <v>0.25097650165553581</v>
      </c>
      <c r="L6" s="10">
        <f>IFERROR((((J6*$P$8)+(K6*$P$14))/$P$23),"0,00")</f>
        <v>0.24994824192586396</v>
      </c>
      <c r="M6" s="11">
        <f>IFERROR((((F6*$P$17)+(I6*$P$20)+(L6*$P$23))/$P$26),"0,00")</f>
        <v>5.6117270347038346E-2</v>
      </c>
      <c r="O6" s="20" t="s">
        <v>33</v>
      </c>
      <c r="P6" s="40">
        <v>709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Sebep",'[7]TABLO-1'!K4:K32873,"=Bildirimsiz",'[7]TABLO-1'!I4:I32873,"=Uzun",'[7]TABLO-1'!C4:C32873,"=KIRKLARELİ")/P6</f>
        <v>0</v>
      </c>
      <c r="E7" s="10">
        <f>SUMIFS('[7]TABLO-1'!V4:V32873,'[7]TABLO-1'!H4:H32873,"=İletim",'[7]TABLO-1'!J4:J32873,"=Mücbir Sebep",'[7]TABLO-1'!K4:K32873,"=Bildirimsiz",'[7]TABLO-1'!I4:I32873,"=Uzun",'[7]TABLO-1'!C4:C32873,"=KIRKLARELİ")/P12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Sebep",'[7]TABLO-1'!K4:K32873,"=Bildirimsiz",'[7]TABLO-1'!I4:I32873,"=Uzun",'[7]TABLO-1'!C4:C32873,"=KIRKLARELİ")/P7</f>
        <v>0</v>
      </c>
      <c r="H7" s="10">
        <f>SUMIFS('[7]TABLO-1'!X4:X32873,'[7]TABLO-1'!H4:H32873,"=İletim",'[7]TABLO-1'!J4:J32873,"=Mücbir Sebep",'[7]TABLO-1'!K4:K32873,"=Bildirimsiz",'[7]TABLO-1'!I4:I32873,"=Uzun",'[7]TABLO-1'!C4:C32873,"=KIRKLARELİ")/P13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Sebep",'[7]TABLO-1'!K4:K32873,"=Bildirimsiz",'[7]TABLO-1'!I4:I32873,"=Uzun",'[7]TABLO-1'!C4:C32873,"=KIRKLARELİ")/P8</f>
        <v>0</v>
      </c>
      <c r="K7" s="10">
        <f>SUMIFS('[7]TABLO-1'!Z4:Z32873,'[7]TABLO-1'!H4:H32873,"=İletim",'[7]TABLO-1'!J4:J32873,"=Mücbir Sebep",'[7]TABLO-1'!K4:K32873,"=Bildirimsiz",'[7]TABLO-1'!I4:I32873,"=Uzun",'[7]TABLO-1'!C4:C32873,"=KIRKLARELİ")/P14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395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İşletmecisi",'[7]TABLO-1'!K4:K32873,"=Bildirimsiz",'[7]TABLO-1'!I4:I32873,"=Uzun",'[7]TABLO-1'!C4:C32873,"=KIRKLARELİ")/P6</f>
        <v>45.930559472433764</v>
      </c>
      <c r="E8" s="10">
        <f>SUMIFS('[7]TABLO-1'!V4:V32873,'[7]TABLO-1'!H4:H32873,"=Dağıtım-OG",'[7]TABLO-1'!J4:J32873,"=Şebeke İşletmecisi",'[7]TABLO-1'!K4:K32873,"=Bildirimsiz",'[7]TABLO-1'!I4:I32873,"=Uzun",'[7]TABLO-1'!C4:C32873,"=KIRKLARELİ")/P12</f>
        <v>25.883581204754147</v>
      </c>
      <c r="F8" s="10">
        <f t="shared" si="0"/>
        <v>25.976885397488388</v>
      </c>
      <c r="G8" s="10">
        <f>SUMIFS('[7]TABLO-1'!W4:W32873,'[7]TABLO-1'!H4:H32873,"=Dağıtım-OG",'[7]TABLO-1'!J4:J32873,"=Şebeke İşletmecisi",'[7]TABLO-1'!K4:K32873,"=Bildirimsiz",'[7]TABLO-1'!I4:I32873,"=Uzun",'[7]TABLO-1'!C4:C32873,"=KIRKLARELİ")/P7</f>
        <v>80.042151898405038</v>
      </c>
      <c r="H8" s="10">
        <f>SUMIFS('[7]TABLO-1'!X4:X32873,'[7]TABLO-1'!H4:H32873,"=Dağıtım-OG",'[7]TABLO-1'!J4:J32873,"=Şebeke İşletmecisi",'[7]TABLO-1'!K4:K32873,"=Bildirimsiz",'[7]TABLO-1'!I4:I32873,"=Uzun",'[7]TABLO-1'!C4:C32873,"=KIRKLARELİ")/P13</f>
        <v>42.22990659160358</v>
      </c>
      <c r="I8" s="10">
        <f t="shared" si="1"/>
        <v>42.545768303234645</v>
      </c>
      <c r="J8" s="10">
        <f>SUMIFS('[7]TABLO-1'!Y4:Y32873,'[7]TABLO-1'!H4:H32873,"=Dağıtım-OG",'[7]TABLO-1'!J4:J32873,"=Şebeke İşletmecisi",'[7]TABLO-1'!K4:K32873,"=Bildirimsiz",'[7]TABLO-1'!I4:I32873,"=Uzun",'[7]TABLO-1'!C4:C32873,"=KIRKLARELİ")/P8</f>
        <v>111.91013548081095</v>
      </c>
      <c r="K8" s="10">
        <f>SUMIFS('[7]TABLO-1'!Z4:Z32873,'[7]TABLO-1'!H4:H32873,"=Dağıtım-OG",'[7]TABLO-1'!J4:J32873,"=Şebeke İşletmecisi",'[7]TABLO-1'!K4:K32873,"=Bildirimsiz",'[7]TABLO-1'!I4:I32873,"=Uzun",'[7]TABLO-1'!C4:C32873,"=KIRKLARELİ")/P14</f>
        <v>130.01043477319692</v>
      </c>
      <c r="L8" s="10">
        <f t="shared" si="2"/>
        <v>129.59632167267634</v>
      </c>
      <c r="M8" s="11">
        <f t="shared" si="3"/>
        <v>52.04461170741466</v>
      </c>
      <c r="O8" s="20" t="s">
        <v>36</v>
      </c>
      <c r="P8" s="53">
        <v>1304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SUMIFS('[7]TABLO-1'!U4:U32873,'[7]TABLO-1'!H4:H32873,"=Dağıtım-OG",'[7]TABLO-1'!J4:J32873,"=Dışsal",'[7]TABLO-1'!K4:K32873,"=Bildirimsiz",'[7]TABLO-1'!I4:I32873,"=Uzun",'[7]TABLO-1'!C4:C32873,"=KIRKLARELİ")/P6</f>
        <v>0.25968500234847375</v>
      </c>
      <c r="E9" s="10">
        <f>SUMIFS('[7]TABLO-1'!V4:V32873,'[7]TABLO-1'!H4:H32873,"=Dağıtım-OG",'[7]TABLO-1'!J4:J32873,"=Dışsal",'[7]TABLO-1'!K4:K32873,"=Bildirimsiz",'[7]TABLO-1'!I4:I32873,"=Uzun",'[7]TABLO-1'!C4:C32873,"=KIRKLARELİ")/P12</f>
        <v>2.0606631096041537</v>
      </c>
      <c r="F9" s="10">
        <f t="shared" si="0"/>
        <v>2.0522808583648016</v>
      </c>
      <c r="G9" s="10">
        <f>SUMIFS('[7]TABLO-1'!W4:W32873,'[7]TABLO-1'!H4:H32873,"=Dağıtım-OG",'[7]TABLO-1'!J4:J32873,"=Dışsal",'[7]TABLO-1'!K4:K32873,"=Bildirimsiz",'[7]TABLO-1'!I4:I32873,"=Uzun",'[7]TABLO-1'!C4:C32873,"=KIRKLARELİ")/P7</f>
        <v>1.1374261603378277</v>
      </c>
      <c r="H9" s="10">
        <f>SUMIFS('[7]TABLO-1'!X4:X32873,'[7]TABLO-1'!H4:H32873,"=Dağıtım-OG",'[7]TABLO-1'!J4:J32873,"=Dışsal",'[7]TABLO-1'!K4:K32873,"=Bildirimsiz",'[7]TABLO-1'!I4:I32873,"=Uzun",'[7]TABLO-1'!C4:C32873,"=KIRKLARELİ")/P13</f>
        <v>0</v>
      </c>
      <c r="I9" s="10">
        <f t="shared" si="1"/>
        <v>9.5014028112642632E-3</v>
      </c>
      <c r="J9" s="10">
        <f>SUMIFS('[7]TABLO-1'!Y4:Y32873,'[7]TABLO-1'!H4:H32873,"=Dağıtım-OG",'[7]TABLO-1'!J4:J32873,"=Dışsal",'[7]TABLO-1'!K4:K32873,"=Bildirimsiz",'[7]TABLO-1'!I4:I32873,"=Uzun",'[7]TABLO-1'!C4:C32873,"=KIRKLARELİ")/P8</f>
        <v>1.0299079754426248</v>
      </c>
      <c r="K9" s="10">
        <f>SUMIFS('[7]TABLO-1'!Z4:Z32873,'[7]TABLO-1'!H4:H32873,"=Dağıtım-OG",'[7]TABLO-1'!J4:J32873,"=Dışsal",'[7]TABLO-1'!K4:K32873,"=Bildirimsiz",'[7]TABLO-1'!I4:I32873,"=Uzun",'[7]TABLO-1'!C4:C32873,"=KIRKLARELİ")/P14</f>
        <v>2.644784409467326E-2</v>
      </c>
      <c r="L9" s="10">
        <f t="shared" si="2"/>
        <v>4.9405806254784995E-2</v>
      </c>
      <c r="M9" s="11">
        <f t="shared" si="3"/>
        <v>1.2310087744828495</v>
      </c>
      <c r="O9" s="20" t="s">
        <v>17</v>
      </c>
      <c r="P9" s="53">
        <f>P6+P7+P8</f>
        <v>2408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Sebep",'[7]TABLO-1'!K4:K32873,"=Bildirimsiz",'[7]TABLO-1'!I4:I32873,"=Uzun",'[7]TABLO-1'!C4:C32873,"=KIRKLARELİ")/P6</f>
        <v>0</v>
      </c>
      <c r="E10" s="10">
        <f>SUMIFS('[7]TABLO-1'!V4:V32873,'[7]TABLO-1'!H4:H32873,"=Dağıtım-OG",'[7]TABLO-1'!J4:J32873,"=Mücbir Sebep",'[7]TABLO-1'!K4:K32873,"=Bildirimsiz",'[7]TABLO-1'!I4:I32873,"=Uzun",'[7]TABLO-1'!C4:C32873,"=KIRKLARELİ")/P12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Sebep",'[7]TABLO-1'!K4:K32873,"=Bildirimsiz",'[7]TABLO-1'!I4:I32873,"=Uzun",'[7]TABLO-1'!C4:C32873,"=KIRKLARELİ")/P7</f>
        <v>0</v>
      </c>
      <c r="H10" s="10">
        <f>SUMIFS('[7]TABLO-1'!X4:X32873,'[7]TABLO-1'!H4:H32873,"=Dağıtım-OG",'[7]TABLO-1'!J4:J32873,"=Mücbir Sebep",'[7]TABLO-1'!K4:K32873,"=Bildirimsiz",'[7]TABLO-1'!I4:I32873,"=Uzun",'[7]TABLO-1'!C4:C32873,"=KIRKLARELİ")/P13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Sebep",'[7]TABLO-1'!K4:K32873,"=Bildirimsiz",'[7]TABLO-1'!I4:I32873,"=Uzun",'[7]TABLO-1'!C4:C32873,"=KIRKLARELİ")/P8</f>
        <v>0</v>
      </c>
      <c r="K10" s="10">
        <f>SUMIFS('[7]TABLO-1'!Z4:Z32873,'[7]TABLO-1'!H4:H32873,"=Dağıtım-OG",'[7]TABLO-1'!J4:J32873,"=Mücbir Sebep",'[7]TABLO-1'!K4:K32873,"=Bildirimsiz",'[7]TABLO-1'!I4:I32873,"=Uzun",'[7]TABLO-1'!C4:C32873,"=KIRKLARELİ")/P14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SUMIFS('[7]TABLO-1'!U4:U32873,'[7]TABLO-1'!H4:H32873,"=Dağıtım-OG",'[7]TABLO-1'!J4:J32873,"=Güvenlik",'[7]TABLO-1'!K4:K32873,"=Bildirimsiz",'[7]TABLO-1'!I4:I32873,"=Uzun",'[7]TABLO-1'!C4:C32873,"=KIRKLARELİ")/P6</f>
        <v>0</v>
      </c>
      <c r="E11" s="10">
        <f>SUMIFS('[7]TABLO-1'!V4:V32873,'[7]TABLO-1'!H4:H32873,"=Dağıtım-OG",'[7]TABLO-1'!J4:J32873,"=Güvenlik",'[7]TABLO-1'!K4:K32873,"=Bildirimsiz",'[7]TABLO-1'!I4:I32873,"=Uzun",'[7]TABLO-1'!C4:C32873,"=KIRKLARELİ")/P12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SUMIFS('[7]TABLO-1'!W4:W32873,'[7]TABLO-1'!H4:H32873,"=Dağıtım-OG",'[7]TABLO-1'!J4:J32873,"=Güvenlik",'[7]TABLO-1'!K4:K32873,"=Bildirimsiz",'[7]TABLO-1'!I4:I32873,"=Uzun",'[7]TABLO-1'!C4:C32873,"=KIRKLARELİ")/P7</f>
        <v>0</v>
      </c>
      <c r="H11" s="10">
        <f>SUMIFS('[7]TABLO-1'!X4:X32873,'[7]TABLO-1'!H4:H32873,"=Dağıtım-OG",'[7]TABLO-1'!J4:J32873,"=Güvenlik",'[7]TABLO-1'!K4:K32873,"=Bildirimsiz",'[7]TABLO-1'!I4:I32873,"=Uzun",'[7]TABLO-1'!C4:C32873,"=KIRKLARELİ")/P13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SUMIFS('[7]TABLO-1'!Y4:Y32873,'[7]TABLO-1'!H4:H32873,"=Dağıtım-OG",'[7]TABLO-1'!J4:J32873,"=Güvenlik",'[7]TABLO-1'!K4:K32873,"=Bildirimsiz",'[7]TABLO-1'!I4:I32873,"=Uzun",'[7]TABLO-1'!C4:C32873,"=KIRKLARELİ")/P8</f>
        <v>0</v>
      </c>
      <c r="K11" s="10">
        <f>SUMIFS('[7]TABLO-1'!Z4:Z32873,'[7]TABLO-1'!H4:H32873,"=Dağıtım-OG",'[7]TABLO-1'!J4:J32873,"=Güvenlik",'[7]TABLO-1'!K4:K32873,"=Bildirimsiz",'[7]TABLO-1'!I4:I32873,"=Uzun",'[7]TABLO-1'!C4:C32873,"=KIRKLARELİ")/P14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İşletmecisi",'[7]TABLO-1'!K4:K32873,"=Bildirimsiz",'[7]TABLO-1'!I4:I32873,"=Uzun",'[7]TABLO-1'!C4:C32873,"=KIRKLARELİ")/P6</f>
        <v>0</v>
      </c>
      <c r="E12" s="10">
        <f>SUMIFS('[7]TABLO-1'!V4:V32873,'[7]TABLO-1'!H4:H32873,"=Dağıtım-AG",'[7]TABLO-1'!J4:J32873,"=Şebeke işletmecisi",'[7]TABLO-1'!K4:K32873,"=Bildirimsiz",'[7]TABLO-1'!I4:I32873,"=Uzun",'[7]TABLO-1'!C4:C32873,"=KIRKLARELİ")/P12</f>
        <v>2.9688550844886743</v>
      </c>
      <c r="F12" s="10">
        <f t="shared" si="0"/>
        <v>2.9550372101285389</v>
      </c>
      <c r="G12" s="12">
        <f>SUMIFS('[7]TABLO-1'!W4:W32873,'[7]TABLO-1'!H4:H32873,"=Dağıtım-AG",'[7]TABLO-1'!J4:J32873,"=Şebeke İşletmecisi",'[7]TABLO-1'!K4:K32873,"=Bildirimsiz",'[7]TABLO-1'!I4:I32873,"=Uzun",'[7]TABLO-1'!C4:C32873,"=KIRKLARELİ")/P7</f>
        <v>0</v>
      </c>
      <c r="H12" s="10">
        <f>SUMIFS('[7]TABLO-1'!X4:X32873,'[7]TABLO-1'!H4:H32873,"=Dağıtım-AG",'[7]TABLO-1'!J4:J32873,"=Şebeke İşletmecisi",'[7]TABLO-1'!K4:K32873,"=Bildirimsiz",'[7]TABLO-1'!I4:I32873,"=Uzun",'[7]TABLO-1'!C4:C32873,"=KIRKLARELİ")/P13</f>
        <v>7.9459274345481923</v>
      </c>
      <c r="I12" s="10">
        <f t="shared" si="1"/>
        <v>7.8795517348348199</v>
      </c>
      <c r="J12" s="12">
        <f>SUMIFS('[7]TABLO-1'!Y4:Y32873,'[7]TABLO-1'!H4:H32873,"=Dağıtım-AG",'[7]TABLO-1'!J4:J32873,"=Şebeke İşletmecisi",'[7]TABLO-1'!K4:K32873,"=Bildirimsiz",'[7]TABLO-1'!I4:I32873,"=Uzun",'[7]TABLO-1'!C4:C32873,"=KIRKLARELİ")/P8</f>
        <v>0</v>
      </c>
      <c r="K12" s="10">
        <f>SUMIFS('[7]TABLO-1'!Z4:Z32873,'[7]TABLO-1'!H4:H32873,"=Dağıtım-AG",'[7]TABLO-1'!J4:J32873,"=Şebeke İşletmecisi",'[7]TABLO-1'!K4:K32873,"=Bildirimsiz",'[7]TABLO-1'!I4:I32873,"=Uzun",'[7]TABLO-1'!C4:C32873,"=KIRKLARELİ")/P14</f>
        <v>11.967018901567778</v>
      </c>
      <c r="L12" s="10">
        <f t="shared" si="2"/>
        <v>11.693227887327403</v>
      </c>
      <c r="M12" s="11">
        <f t="shared" si="3"/>
        <v>5.8032826737720811</v>
      </c>
      <c r="O12" s="6" t="s">
        <v>33</v>
      </c>
      <c r="P12" s="42">
        <v>151624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SUMIFS('[7]TABLO-1'!U4:U32873,'[7]TABLO-1'!H4:H32873,"=Dağıtım-AG",'[7]TABLO-1'!J4:J32873,"=Dışsal",'[7]TABLO-1'!K4:K32873,"=Bildirimsiz",'[7]TABLO-1'!I4:I32873,"=Uzun",'[7]TABLO-1'!C4:C32873,"=KIRKLARELİ")/P6</f>
        <v>0</v>
      </c>
      <c r="E13" s="10">
        <f>SUMIFS('[7]TABLO-1'!V4:V32873,'[7]TABLO-1'!H4:H32873,"=Dağıtım-AG",'[7]TABLO-1'!J4:J32873,"=Dışsal",'[7]TABLO-1'!K4:K32873,"=Bildirimsiz",'[7]TABLO-1'!I4:I32873,"=Uzun",'[7]TABLO-1'!C4:C32873,"=KIRKLARELİ")/P12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SUMIFS('[7]TABLO-1'!W4:W32873,'[7]TABLO-1'!H4:H32873,"=Dağıtım-AG",'[7]TABLO-1'!J4:J32873,"=Dışsal",'[7]TABLO-1'!K4:K32873,"=Bildirimsiz",'[7]TABLO-1'!I4:I32873,"=Uzun",'[7]TABLO-1'!C4:C32873,"=KIRKLARELİ")/P7</f>
        <v>0</v>
      </c>
      <c r="H13" s="10">
        <f>SUMIFS('[7]TABLO-1'!X4:X32873,'[7]TABLO-1'!H4:H32873,"=Dağıtım-AG",'[7]TABLO-1'!J4:J32873,"=Dışsal",'[7]TABLO-1'!K4:K32873,"=Bildirimsiz",'[7]TABLO-1'!I4:I32873,"=Uzun",'[7]TABLO-1'!C4:C32873,"=KIRKLARELİ")/P13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SUMIFS('[7]TABLO-1'!Y4:Y32873,'[7]TABLO-1'!H4:H32873,"=Dağıtım-AG",'[7]TABLO-1'!J4:J32873,"=Dışsal",'[7]TABLO-1'!K4:K32873,"=Bildirimsiz",'[7]TABLO-1'!I4:I32873,"=Uzun",'[7]TABLO-1'!C4:C32873,"=KIRKLARELİ")/P8</f>
        <v>0</v>
      </c>
      <c r="K13" s="10">
        <f>SUMIFS('[7]TABLO-1'!Z4:Z32873,'[7]TABLO-1'!H4:H32873,"=Dağıtım-AG",'[7]TABLO-1'!J4:J32873,"=Dışsal",'[7]TABLO-1'!K4:K32873,"=Bildirimsiz",'[7]TABLO-1'!I4:I32873,"=Uzun",'[7]TABLO-1'!C4:C32873,"=KIRKLARELİ")/P14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46891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Sebep",'[7]TABLO-1'!K4:K32873,"=Bildirimsiz",'[7]TABLO-1'!I4:I32873,"=Uzun",'[7]TABLO-1'!C4:C32873,"=KIRKLARELİ")/P6</f>
        <v>0</v>
      </c>
      <c r="E14" s="10">
        <f>SUMIFS('[7]TABLO-1'!V4:V32873,'[7]TABLO-1'!H4:H32873,"=Dağıtım-AG",'[7]TABLO-1'!J4:J32873,"=Mücbir Sebep",'[7]TABLO-1'!K4:K32873,"=Bildirimsiz",'[7]TABLO-1'!I4:I32873,"=Uzun",'[7]TABLO-1'!C4:C32873,"=KIRKLARELİ")/P12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Sebep",'[7]TABLO-1'!K4:K32873,"=Bildirimsiz",'[7]TABLO-1'!I4:I32873,"=Uzun",'[7]TABLO-1'!C4:C32873,"=KIRKLARELİ")/P7</f>
        <v>0</v>
      </c>
      <c r="H14" s="10">
        <f>SUMIFS('[7]TABLO-1'!X4:X32873,'[7]TABLO-1'!H4:H32873,"=Dağıtım-AG",'[7]TABLO-1'!J4:J32873,"=Mücbir Sebep",'[7]TABLO-1'!K4:K32873,"=Bildirimsiz",'[7]TABLO-1'!I4:I32873,"=Uzun",'[7]TABLO-1'!C4:C32873,"=KIRKLARELİ")/P13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Sebep",'[7]TABLO-1'!K4:K32873,"=Bildirimsiz",'[7]TABLO-1'!I4:I32873,"=Uzun",'[7]TABLO-1'!C4:C32873,"=KIRKLARELİ")/P8</f>
        <v>0</v>
      </c>
      <c r="K14" s="10">
        <f>SUMIFS('[7]TABLO-1'!Z4:Z32873,'[7]TABLO-1'!H4:H32873,"=Dağıtım-AG",'[7]TABLO-1'!J4:J32873,"=Mücbir Sebep",'[7]TABLO-1'!K4:K32873,"=Bildirimsiz",'[7]TABLO-1'!I4:I32873,"=Uzun",'[7]TABLO-1'!C4:C32873,"=KIRKLARELİ")/P14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55692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SUMIFS('[7]TABLO-1'!U4:U32873,'[7]TABLO-1'!H4:H32873,"=Dağıtım-AG",'[7]TABLO-1'!J4:J32873,"=Güvenlik",'[7]TABLO-1'!K4:K32873,"=Bildirimsiz",'[7]TABLO-1'!I4:I32873,"=Uzun",'[7]TABLO-1'!C4:C32873,"=KIRKLARELİ")/P6</f>
        <v>0</v>
      </c>
      <c r="E15" s="10">
        <f>SUMIFS('[7]TABLO-1'!V4:V32873,'[7]TABLO-1'!H4:H32873,"=Dağıtım-AG",'[7]TABLO-1'!J4:J32873,"=Güvenlik",'[7]TABLO-1'!K4:K32873,"=Bildirimsiz",'[7]TABLO-1'!I4:I32873,"=Uzun",'[7]TABLO-1'!C4:C32873,"=KIRKLARELİ")/P12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SUMIFS('[7]TABLO-1'!W4:W32873,'[7]TABLO-1'!H4:H32873,"=Dağıtım-AG",'[7]TABLO-1'!J4:J32873,"=Güvenlik",'[7]TABLO-1'!K4:K32873,"=Bildirimsiz",'[7]TABLO-1'!I4:I32873,"=Uzun",'[7]TABLO-1'!C4:C32873,"=KIRKLARELİ")/P7</f>
        <v>0</v>
      </c>
      <c r="H15" s="10">
        <f>SUMIFS('[7]TABLO-1'!X4:X32873,'[7]TABLO-1'!H4:H32873,"=Dağıtım-AG",'[7]TABLO-1'!J4:J32873,"=Güvenlik",'[7]TABLO-1'!K4:K32873,"=Bildirimsiz",'[7]TABLO-1'!I4:I32873,"=Uzun",'[7]TABLO-1'!C4:C32873,"=KIRKLARELİ")/P13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SUMIFS('[7]TABLO-1'!Y4:Y32873,'[7]TABLO-1'!H4:H32873,"=Dağıtım-AG",'[7]TABLO-1'!J4:J32873,"=Güvenlik",'[7]TABLO-1'!K4:K32873,"=Bildirimsiz",'[7]TABLO-1'!I4:I32873,"=Uzun",'[7]TABLO-1'!C4:C32873,"=KIRKLARELİ")/P8</f>
        <v>0</v>
      </c>
      <c r="K15" s="10">
        <f>SUMIFS('[7]TABLO-1'!Z4:Z32873,'[7]TABLO-1'!H4:H32873,"=Dağıtım-AG",'[7]TABLO-1'!J4:J32873,"=Güvenlik",'[7]TABLO-1'!K4:K32873,"=Bildirimsiz",'[7]TABLO-1'!I4:I32873,"=Uzun",'[7]TABLO-1'!C4:C32873,"=KIRKLARELİ")/P14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254207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46.19024447478224</v>
      </c>
      <c r="E16" s="10">
        <f t="shared" si="4"/>
        <v>30.913675275137319</v>
      </c>
      <c r="F16" s="10">
        <f t="shared" si="4"/>
        <v>30.984776661984217</v>
      </c>
      <c r="G16" s="10">
        <f t="shared" si="4"/>
        <v>81.349620252797578</v>
      </c>
      <c r="H16" s="10">
        <f t="shared" si="4"/>
        <v>50.175834026151776</v>
      </c>
      <c r="I16" s="10">
        <f t="shared" si="4"/>
        <v>50.436241875399439</v>
      </c>
      <c r="J16" s="10">
        <f>SUM(J6:J15)</f>
        <v>113.14607617604379</v>
      </c>
      <c r="K16" s="10">
        <f>SUM(K6:K15)</f>
        <v>142.25487802051489</v>
      </c>
      <c r="L16" s="10">
        <f>SUM(L6:L15)</f>
        <v>141.58890360818438</v>
      </c>
      <c r="M16" s="11">
        <f t="shared" si="4"/>
        <v>59.135020426016631</v>
      </c>
    </row>
    <row r="17" spans="2:16" ht="15" customHeight="1" x14ac:dyDescent="0.25">
      <c r="B17" s="29"/>
      <c r="O17" s="50" t="s">
        <v>37</v>
      </c>
      <c r="P17" s="47">
        <f>P6+P12</f>
        <v>152333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47286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İşletmecisi",'[7]TABLO-1'!K4:K32873,"=Bildirimli",'[7]TABLO-1'!I4:I32873,"=Uzun",'[7]TABLO-1'!C4:C32873,"=KIRKLARELİ")/P6</f>
        <v>0</v>
      </c>
      <c r="E21" s="10">
        <f>SUMIFS('[7]TABLO-1'!V4:V32873,'[7]TABLO-1'!H4:H32873,"=İletim",'[7]TABLO-1'!J4:J32873,"=Şebeke İşletmecisi",'[7]TABLO-1'!K4:K32873,"=Bildirimli",'[7]TABLO-1'!I4:I32873,"=Uzun",'[7]TABLO-1'!C4:C32873,"=KIRKLARELİ")/P12</f>
        <v>6.9945061466745714E-2</v>
      </c>
      <c r="F21" s="10">
        <f>IFERROR((((D21*$P$6)+(E21*$P$12))/$P$17),"0,00")</f>
        <v>6.9619517765906608E-2</v>
      </c>
      <c r="G21" s="10">
        <f>SUMIFS('[7]TABLO-1'!W4:W32873,'[7]TABLO-1'!H4:H32873,"=İletim",'[7]TABLO-1'!J4:J32873,"=Şebeke İşletmecisi",'[7]TABLO-1'!K4:K32873,"=Bildirimli",'[7]TABLO-1'!I4:I32873,"=Uzun",'[7]TABLO-1'!C4:C32873,"=KIRKLARELİ")/P7</f>
        <v>30.412194092357179</v>
      </c>
      <c r="H21" s="10">
        <f>SUMIFS('[7]TABLO-1'!X4:X32873,'[7]TABLO-1'!H4:H32873,"=İletim",'[7]TABLO-1'!J4:J32873,"=Şebeke İşletmecisi",'[7]TABLO-1'!K4:K32873,"=Bildirimli",'[7]TABLO-1'!I4:I32873,"=Uzun",'[7]TABLO-1'!C4:C32873,"=KIRKLARELİ")/P13</f>
        <v>13.418694418767005</v>
      </c>
      <c r="I21" s="10">
        <f>IFERROR((((G21*$P$7)+(H21*$P$13))/$P$20),"0,00")</f>
        <v>13.560648324173851</v>
      </c>
      <c r="J21" s="10">
        <f>SUMIFS('[7]TABLO-1'!Y4:Y32873,'[7]TABLO-1'!H4:H32873,"=İletim",'[7]TABLO-1'!J4:J32873,"=Şebeke İşletmecisi",'[7]TABLO-1'!K4:K32873,"=Bildirimli",'[7]TABLO-1'!I4:I32873,"=Uzun",'[7]TABLO-1'!C4:C32873,"=KIRKLARELİ")/P8</f>
        <v>23.680764314557134</v>
      </c>
      <c r="K21" s="10">
        <f>SUMIFS('[7]TABLO-1'!Z4:Z32873,'[7]TABLO-1'!H4:H32873,"=İletim",'[7]TABLO-1'!J4:J32873,"=Şebeke İşletmecisi",'[7]TABLO-1'!K4:K32873,"=Bildirimli",'[7]TABLO-1'!I4:I32873,"=Uzun",'[7]TABLO-1'!C4:C32873,"=KIRKLARELİ")/P14</f>
        <v>28.899533146138662</v>
      </c>
      <c r="L21" s="10">
        <f>IFERROR((((J21*$P$8)+(K21*$P$14))/$P$23),"0,00")</f>
        <v>28.780133985559285</v>
      </c>
      <c r="M21" s="11">
        <f>IFERROR((((F21*$P$17)+(I21*$P$20)+(L21*$P$23))/$P$26),"0,00")</f>
        <v>8.9323955470165632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İşletmecisi",'[7]TABLO-1'!K4:K32873,"=Bildirimli",'[7]TABLO-1'!I4:I32873,"=Uzun",'[7]TABLO-1'!C4:C32873,"=KIRKLARELİ")/P6</f>
        <v>18.821462152835458</v>
      </c>
      <c r="E22" s="10">
        <f>SUMIFS('[7]TABLO-1'!V4:V32873,'[7]TABLO-1'!H4:H32873,"=Dağıtım-OG",'[7]TABLO-1'!J4:J32873,"=Şebeke İşletmecisi",'[7]TABLO-1'!K4:K32873,"=Bildirimli",'[7]TABLO-1'!I4:I32873,"=Uzun",'[7]TABLO-1'!C4:C32873,"=KIRKLARELİ")/P12</f>
        <v>23.061064431355863</v>
      </c>
      <c r="F22" s="10">
        <f t="shared" ref="F22:F25" si="5">IFERROR((((D22*$P$6)+(E22*$P$12))/$P$17),"0,00")</f>
        <v>23.041332147376217</v>
      </c>
      <c r="G22" s="10">
        <f>SUMIFS('[7]TABLO-1'!W4:W32873,'[7]TABLO-1'!H4:H32873,"=Dağıtım-OG",'[7]TABLO-1'!J4:J32873,"=Şebeke İşletmecisi",'[7]TABLO-1'!K4:K32873,"=Bildirimli",'[7]TABLO-1'!I4:I32873,"=Uzun",'[7]TABLO-1'!C4:C32873,"=KIRKLARELİ")/P7</f>
        <v>24.770126582076184</v>
      </c>
      <c r="H22" s="10">
        <f>SUMIFS('[7]TABLO-1'!X4:X32873,'[7]TABLO-1'!H4:H32873,"=Dağıtım-OG",'[7]TABLO-1'!J4:J32873,"=Şebeke İşletmecisi",'[7]TABLO-1'!K4:K32873,"=Bildirimli",'[7]TABLO-1'!I4:I32873,"=Uzun",'[7]TABLO-1'!C4:C32873,"=KIRKLARELİ")/P13</f>
        <v>26.125653465454793</v>
      </c>
      <c r="I22" s="10">
        <f t="shared" ref="I22:I25" si="6">IFERROR((((G22*$P$7)+(H22*$P$13))/$P$20),"0,00")</f>
        <v>26.114330174862765</v>
      </c>
      <c r="J22" s="10">
        <f>SUMIFS('[7]TABLO-1'!Y4:Y32873,'[7]TABLO-1'!H4:H32873,"=Dağıtım-OG",'[7]TABLO-1'!J4:J32873,"=Şebeke İşletmecisi",'[7]TABLO-1'!K4:K32873,"=Bildirimli",'[7]TABLO-1'!I4:I32873,"=Uzun",'[7]TABLO-1'!C4:C32873,"=KIRKLARELİ")/P8</f>
        <v>47.736860940103782</v>
      </c>
      <c r="K22" s="10">
        <f>SUMIFS('[7]TABLO-1'!Z4:Z32873,'[7]TABLO-1'!H4:H32873,"=Dağıtım-OG",'[7]TABLO-1'!J4:J32873,"=Şebeke İşletmecisi",'[7]TABLO-1'!K4:K32873,"=Bildirimli",'[7]TABLO-1'!I4:I32873,"=Uzun",'[7]TABLO-1'!C4:C32873,"=KIRKLARELİ")/P14</f>
        <v>69.183551496794493</v>
      </c>
      <c r="L22" s="10">
        <f t="shared" ref="L22:L25" si="7">IFERROR((((J22*$P$8)+(K22*$P$14))/$P$23),"0,00")</f>
        <v>68.692876984794964</v>
      </c>
      <c r="M22" s="11">
        <f t="shared" ref="M22:M25" si="8">IFERROR((((F22*$P$17)+(I22*$P$20)+(L22*$P$23))/$P$26),"0,00")</f>
        <v>33.747117991076891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SUMIFS('[7]TABLO-1'!U4:U32873,'[7]TABLO-1'!H4:H32873,"=Dağıtım-OG",'[7]TABLO-1'!J4:J32873,"=Güvenlik",'[7]TABLO-1'!K4:K32873,"=Bildirimli",'[7]TABLO-1'!I4:I32873,"=Uzun",'[7]TABLO-1'!C4:C32873,"=KIRKLARELİ")/P6</f>
        <v>0</v>
      </c>
      <c r="E23" s="10">
        <f>SUMIFS('[7]TABLO-1'!V4:V32873,'[7]TABLO-1'!H4:H32873,"=Dağıtım-OG",'[7]TABLO-1'!J4:J32873,"=Güvenlik",'[7]TABLO-1'!K4:K32873,"=Bildirimli",'[7]TABLO-1'!I4:I32873,"=Uzun",'[7]TABLO-1'!C4:C32873,"=KIRKLARELİ")/P12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SUMIFS('[7]TABLO-1'!W4:W32873,'[7]TABLO-1'!H4:H32873,"=Dağıtım-OG",'[7]TABLO-1'!J4:J32873,"=Güvenlik",'[7]TABLO-1'!K4:K32873,"=Bildirimli",'[7]TABLO-1'!I4:I32873,"=Uzun",'[7]TABLO-1'!C4:C32873,"=KIRKLARELİ")/P7</f>
        <v>0</v>
      </c>
      <c r="H23" s="10">
        <f>SUMIFS('[7]TABLO-1'!X4:X32873,'[7]TABLO-1'!H4:H32873,"=Dağıtım-OG",'[7]TABLO-1'!J4:J32873,"=Güvenlik",'[7]TABLO-1'!K4:K32873,"=Bildirimli",'[7]TABLO-1'!I4:I32873,"=Uzun",'[7]TABLO-1'!C4:C32873,"=KIRKLARELİ")/P13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SUMIFS('[7]TABLO-1'!Y4:Y32873,'[7]TABLO-1'!H4:H32873,"=Dağıtım-OG",'[7]TABLO-1'!J4:J32873,"=Güvenlik",'[7]TABLO-1'!K4:K32873,"=Bildirimli",'[7]TABLO-1'!I4:I32873,"=Uzun",'[7]TABLO-1'!C4:C32873,"=KIRKLARELİ")/P8</f>
        <v>0</v>
      </c>
      <c r="K23" s="10">
        <f>SUMIFS('[7]TABLO-1'!Z4:Z32873,'[7]TABLO-1'!H4:H32873,"=Dağıtım-OG",'[7]TABLO-1'!J4:J32873,"=Güvenlik",'[7]TABLO-1'!K4:K32873,"=Bildirimli",'[7]TABLO-1'!I4:I32873,"=Uzun",'[7]TABLO-1'!C4:C32873,"=KIRKLARELİ")/P14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56996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İşletmecisi",'[7]TABLO-1'!K4:K32873,"=Bildirimli",'[7]TABLO-1'!I4:I32873,"=Uzun",'[7]TABLO-1'!C4:C32873,"=KIRKLARELİ")/P6</f>
        <v>0</v>
      </c>
      <c r="E24" s="10">
        <f>SUMIFS('[7]TABLO-1'!V4:V32873,'[7]TABLO-1'!H4:H32873,"=Dağıtım-AG",'[7]TABLO-1'!J4:J32873,"=Şebeke İşletmecisi",'[7]TABLO-1'!K4:K32873,"=Bildirimli",'[7]TABLO-1'!I4:I32873,"=Uzun",'[7]TABLO-1'!C4:C32873,"=KIRKLARELİ")/P12</f>
        <v>0.9098661821314532</v>
      </c>
      <c r="F24" s="10">
        <f t="shared" si="5"/>
        <v>0.90563141275691716</v>
      </c>
      <c r="G24" s="12">
        <f>SUMIFS('[7]TABLO-1'!W4:W32873,'[7]TABLO-1'!H4:H32873,"=Dağıtım-AG",'[7]TABLO-1'!J4:J32873,"=Şebeke İşletmecisi",'[7]TABLO-1'!K4:K32873,"=Bildirimli",'[7]TABLO-1'!I4:I32873,"=Uzun",'[7]TABLO-1'!C4:C32873,"=KIRKLARELİ")/P7</f>
        <v>0</v>
      </c>
      <c r="H24" s="10">
        <f>SUMIFS('[7]TABLO-1'!X4:X32873,'[7]TABLO-1'!H4:H32873,"=Dağıtım-AG",'[7]TABLO-1'!J4:J32873,"=Şebeke İşletmecisi",'[7]TABLO-1'!K4:K32873,"=Bildirimli",'[7]TABLO-1'!I4:I32873,"=Uzun",'[7]TABLO-1'!C4:C32873,"=KIRKLARELİ")/P13</f>
        <v>1.0862020430149855</v>
      </c>
      <c r="I24" s="10">
        <f t="shared" si="6"/>
        <v>1.0771285369668757</v>
      </c>
      <c r="J24" s="12">
        <f>SUMIFS('[7]TABLO-1'!Y4:Y32873,'[7]TABLO-1'!H4:H32873,"=Dağıtım-AG",'[7]TABLO-1'!J4:J32873,"=Şebeke İşletmecisi",'[7]TABLO-1'!K4:K32873,"=Bildirimli",'[7]TABLO-1'!I4:I32873,"=Uzun",'[7]TABLO-1'!C4:C32873,"=KIRKLARELİ")/P8</f>
        <v>0</v>
      </c>
      <c r="K24" s="10">
        <f>SUMIFS('[7]TABLO-1'!Z4:Z32873,'[7]TABLO-1'!H4:H32873,"=Dağıtım-AG",'[7]TABLO-1'!J4:J32873,"=Şebeke İşletmecisi",'[7]TABLO-1'!K4:K32873,"=Bildirimli",'[7]TABLO-1'!I4:I32873,"=Uzun",'[7]TABLO-1'!C4:C32873,"=KIRKLARELİ")/P14</f>
        <v>6.0934613589068336</v>
      </c>
      <c r="L24" s="10">
        <f t="shared" si="7"/>
        <v>5.9540502842346728</v>
      </c>
      <c r="M24" s="11">
        <f t="shared" si="8"/>
        <v>2.0585222999386419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SUMIFS('[7]TABLO-1'!U4:U32873,'[7]TABLO-1'!H4:H32873,"=Dağıtım-AG",'[7]TABLO-1'!J4:J32873,"=Güvenlik",'[7]TABLO-1'!K4:K32873,"=Bildirimli",'[7]TABLO-1'!I4:I32873,"=Uzun",'[7]TABLO-1'!C4:C32873,"=KIRKLARELİ")/P6</f>
        <v>0</v>
      </c>
      <c r="E25" s="10">
        <f>SUMIFS('[7]TABLO-1'!V4:V32873,'[7]TABLO-1'!H4:H32873,"=Dağıtım-AG",'[7]TABLO-1'!J4:J32873,"=Güvenlik",'[7]TABLO-1'!K4:K32873,"=Bildirimli",'[7]TABLO-1'!I4:I32873,"=Uzun",'[7]TABLO-1'!C4:C32873,"=KIRKLARELİ")/P12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SUMIFS('[7]TABLO-1'!W4:W32873,'[7]TABLO-1'!H4:H32873,"=Dağıtım-AG",'[7]TABLO-1'!J4:J32873,"=Güvenlik",'[7]TABLO-1'!K4:K32873,"=Bildirimli",'[7]TABLO-1'!I4:I32873,"=Uzun",'[7]TABLO-1'!C4:C32873,"=KIRKLARELİ")/P7</f>
        <v>0</v>
      </c>
      <c r="H25" s="10">
        <f>SUMIFS('[7]TABLO-1'!X4:X32873,'[7]TABLO-1'!H4:H32873,"=Dağıtım-AG",'[7]TABLO-1'!J4:J32873,"=Güvenlik",'[7]TABLO-1'!K4:K32873,"=Bildirimli",'[7]TABLO-1'!I4:I32873,"=Uzun",'[7]TABLO-1'!C4:C32873,"=KIRKLARELİ")/P13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SUMIFS('[7]TABLO-1'!Y4:Y32873,'[7]TABLO-1'!H4:H32873,"=Dağıtım-AG",'[7]TABLO-1'!J4:J32873,"=Güvenlik",'[7]TABLO-1'!K4:K32873,"=Bildirimli",'[7]TABLO-1'!I4:I32873,"=Uzun",'[7]TABLO-1'!C4:C32873,"=KIRKLARELİ")/P8</f>
        <v>0</v>
      </c>
      <c r="K25" s="10">
        <f>SUMIFS('[7]TABLO-1'!Z4:Z32873,'[7]TABLO-1'!H4:H32873,"=Dağıtım-AG",'[7]TABLO-1'!J4:J32873,"=Güvenlik",'[7]TABLO-1'!K4:K32873,"=Bildirimli",'[7]TABLO-1'!I4:I32873,"=Uzun",'[7]TABLO-1'!C4:C32873,"=KIRKLARELİ")/P14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18.821462152835458</v>
      </c>
      <c r="E26" s="10">
        <f t="shared" ref="E26:M26" si="9">SUM(E21:E25)</f>
        <v>24.040875674954062</v>
      </c>
      <c r="F26" s="10">
        <f t="shared" si="9"/>
        <v>24.016583077899043</v>
      </c>
      <c r="G26" s="10">
        <f t="shared" si="9"/>
        <v>55.182320674433363</v>
      </c>
      <c r="H26" s="10">
        <f t="shared" si="9"/>
        <v>40.630549927236785</v>
      </c>
      <c r="I26" s="10">
        <f t="shared" si="9"/>
        <v>40.752107036003487</v>
      </c>
      <c r="J26" s="10">
        <f t="shared" si="9"/>
        <v>71.417625254660919</v>
      </c>
      <c r="K26" s="10">
        <f t="shared" si="9"/>
        <v>104.17654600183999</v>
      </c>
      <c r="L26" s="10">
        <f t="shared" si="9"/>
        <v>103.42706125458892</v>
      </c>
      <c r="M26" s="11">
        <f t="shared" si="9"/>
        <v>44.738035838032097</v>
      </c>
      <c r="O26" s="43" t="s">
        <v>22</v>
      </c>
      <c r="P26" s="44">
        <f>P20+P17+P23</f>
        <v>256615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İşletmecisi",'[7]TABLO-1'!K4:K32873,"=Bildirimsiz",'[7]TABLO-1'!I4:I32873,"=Uzun",'[7]TABLO-1'!C4:C32873,"=KIRKLARELİ")/P6</f>
        <v>0</v>
      </c>
      <c r="E31" s="10">
        <f>SUMIFS('[7]TABLO-1'!P4:P32873,'[7]TABLO-1'!H4:H32873,"=İletim",'[7]TABLO-1'!J4:J32873,"=Şebeke İşletmecisi",'[7]TABLO-1'!K4:K32873,"=Bildirimsiz",'[7]TABLO-1'!I4:I32873,"=Uzun",'[7]TABLO-1'!C4:C32873,"=KIRKLARELİ")/P12</f>
        <v>8.573840552946763E-5</v>
      </c>
      <c r="F31" s="10">
        <f>IFERROR((((D31*$P$6)+(E31*$P$12))/$P$17),"0,00")</f>
        <v>8.5339355228348422E-5</v>
      </c>
      <c r="G31" s="10">
        <f>SUMIFS('[7]TABLO-1'!Q4:Q32873,'[7]TABLO-1'!H4:H32873,"=İletim",'[7]TABLO-1'!J4:J32873,"=Şebeke İşletmecisi",'[7]TABLO-1'!K4:K32873,"=Bildirimsiz",'[7]TABLO-1'!I4:I32873,"=Uzun",'[7]TABLO-1'!C4:C32873,"=KIRKLARELİ")/P7</f>
        <v>2.5316455696202531E-2</v>
      </c>
      <c r="H31" s="10">
        <f>SUMIFS('[7]TABLO-1'!R4:R32873,'[7]TABLO-1'!H4:H32873,"=İletim",'[7]TABLO-1'!J4:J32873,"=Şebeke İşletmecisi",'[7]TABLO-1'!K4:K32873,"=Bildirimsiz",'[7]TABLO-1'!I4:I32873,"=Uzun",'[7]TABLO-1'!C4:C32873,"=KIRKLARELİ")/P13</f>
        <v>0</v>
      </c>
      <c r="I31" s="10">
        <f>IFERROR((((G31*$P$7)+(H31*$P$13))/$P$20),"0,00")</f>
        <v>2.1147908471852133E-4</v>
      </c>
      <c r="J31" s="10">
        <f>SUMIFS('[7]TABLO-1'!S4:S32873,'[7]TABLO-1'!H4:H32873,"=İletim",'[7]TABLO-1'!J4:J32873,"=Şebeke İşletmecisi",'[7]TABLO-1'!K4:K32873,"=Bildirimsiz",'[7]TABLO-1'!I4:I32873,"=Uzun",'[7]TABLO-1'!C4:C32873,"=KIRKLARELİ")/P8</f>
        <v>3.0674846625766871E-2</v>
      </c>
      <c r="K31" s="10">
        <f>SUMIFS('[7]TABLO-1'!T4:T32873,'[7]TABLO-1'!H4:H32873,"=İletim",'[7]TABLO-1'!J4:J32873,"=Şebeke İşletmecisi",'[7]TABLO-1'!K4:K32873,"=bildirimsiz",'[7]TABLO-1'!I4:I32873,"=Uzun",'[7]TABLO-1'!C4:C32873,"=KIRKLARELİ")/P14</f>
        <v>3.736622854269913E-2</v>
      </c>
      <c r="L31" s="10">
        <f>IFERROR((((J31*$P$8)+(K31*$P$14))/$P$23),"0,00")</f>
        <v>3.7213137764053619E-2</v>
      </c>
      <c r="M31" s="11">
        <f>IFERROR((((F31*$P$17)+(I31*$P$20)+(L31*$P$23))/$P$26),"0,00")</f>
        <v>8.3549285895212679E-3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Sebep",'[7]TABLO-1'!K4:K32873,"=Bildirimsiz",'[7]TABLO-1'!I4:I32873,"=Uzun",'[7]TABLO-1'!C4:C32873,"=KIRKLARELİ")/P6</f>
        <v>0</v>
      </c>
      <c r="E32" s="10">
        <f>SUMIFS('[7]TABLO-1'!P4:P32873,'[7]TABLO-1'!H4:H32873,"=İletim",'[7]TABLO-1'!J4:J32873,"=Mücbir Sebep",'[7]TABLO-1'!K4:K32873,"=Bildirimsiz",'[7]TABLO-1'!I4:I32873,"=Uzun",'[7]TABLO-1'!C4:C32873,"=KIRKLARELİ")/P12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Sebep",'[7]TABLO-1'!K4:K32873,"=Bildirimsiz",'[7]TABLO-1'!I4:I32873,"=Uzun",'[7]TABLO-1'!C4:C32873,"=KIRKLARELİ")/P7</f>
        <v>0</v>
      </c>
      <c r="H32" s="10">
        <f>SUMIFS('[7]TABLO-1'!R4:R32873,'[7]TABLO-1'!H4:H32873,"=İletim",'[7]TABLO-1'!J4:J32873,"=Mücbir Sebep",'[7]TABLO-1'!K4:K32873,"=Bildirimsiz",'[7]TABLO-1'!I4:I32873,"=Uzun",'[7]TABLO-1'!C4:C32873,"=KIRKLARELİ")/P13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Sebep",'[7]TABLO-1'!K4:K32873,"=Bildirimsiz",'[7]TABLO-1'!I4:I32873,"=Uzun",'[7]TABLO-1'!C4:C32873,"=KIRKLARELİ")/P8</f>
        <v>0</v>
      </c>
      <c r="K32" s="10">
        <f>SUMIFS('[7]TABLO-1'!T4:T32873,'[7]TABLO-1'!H4:H32873,"=İletim",'[7]TABLO-1'!J4:J32873,"=Mücbir Sebep",'[7]TABLO-1'!K4:K32873,"=bildirimsiz",'[7]TABLO-1'!I4:I32873,"=Uzun",'[7]TABLO-1'!C4:C32873,"=KIRKLARELİ")/P14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İşletmecisi",'[7]TABLO-1'!K4:K32873,"=Bildirimsiz",'[7]TABLO-1'!I4:I32873,"=Uzun",'[7]TABLO-1'!C4:C32873,"=KIRKLARELİ")/P6</f>
        <v>1.2595204513399154</v>
      </c>
      <c r="E33" s="10">
        <f>SUMIFS('[7]TABLO-1'!P4:P32873,'[7]TABLO-1'!H4:H32873,"=Dağıtım-OG",'[7]TABLO-1'!J4:J32873,"=Şebeke İşletmecisi",'[7]TABLO-1'!K4:K32873,"=Bildirimsiz",'[7]TABLO-1'!I4:I32873,"=Uzun",'[7]TABLO-1'!C4:C32873,"=KIRKLARELİ")/P12</f>
        <v>1.2604666807365588</v>
      </c>
      <c r="F33" s="10">
        <f t="shared" si="10"/>
        <v>1.2604622767227063</v>
      </c>
      <c r="G33" s="10">
        <f>SUMIFS('[7]TABLO-1'!Q4:Q32873,'[7]TABLO-1'!H4:H32873,"=Dağıtım-OG",'[7]TABLO-1'!J4:J32873,"=Şebeke İşletmecisi",'[7]TABLO-1'!K4:K32873,"=Bildirimsiz",'[7]TABLO-1'!I4:I32873,"=Uzun",'[7]TABLO-1'!C4:C32873,"=KIRKLARELİ")/P7</f>
        <v>1.5012658227848101</v>
      </c>
      <c r="H33" s="10">
        <f>SUMIFS('[7]TABLO-1'!R4:R32873,'[7]TABLO-1'!H4:H32873,"=Dağıtım-OG",'[7]TABLO-1'!J4:J32873,"=Şebeke İşletmecisi",'[7]TABLO-1'!K4:K32873,"=Bildirimsiz",'[7]TABLO-1'!I4:I32873,"=Uzun",'[7]TABLO-1'!C4:C32873,"=KIRKLARELİ")/P13</f>
        <v>0.99008338487129721</v>
      </c>
      <c r="I33" s="10">
        <f t="shared" si="11"/>
        <v>0.99435350843801551</v>
      </c>
      <c r="J33" s="10">
        <f>SUMIFS('[7]TABLO-1'!S4:S32873,'[7]TABLO-1'!H4:H32873,"=Dağıtım-OG",'[7]TABLO-1'!J4:J32873,"=Şebeke İşletmecisi",'[7]TABLO-1'!K4:K32873,"=Bildirimsiz",'[7]TABLO-1'!I4:I32873,"=Uzun",'[7]TABLO-1'!C4:C32873,"=KIRKLARELİ")/P8</f>
        <v>2.4854294478527605</v>
      </c>
      <c r="K33" s="10">
        <f>SUMIFS('[7]TABLO-1'!T4:T32873,'[7]TABLO-1'!H4:H32873,"=Dağıtım-OG",'[7]TABLO-1'!J4:J32873,"=Şebeke İşletmecisi",'[7]TABLO-1'!K4:K32873,"=bildirimsiz",'[7]TABLO-1'!I4:I32873,"=Uzun",'[7]TABLO-1'!C4:C32873,"=KIRKLARELİ")/P14</f>
        <v>2.788838612368024</v>
      </c>
      <c r="L33" s="10">
        <f t="shared" si="12"/>
        <v>2.7818969752263318</v>
      </c>
      <c r="M33" s="11">
        <f t="shared" si="13"/>
        <v>1.5493482454260272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SUMIFS('[7]TABLO-1'!O4:O32873,'[7]TABLO-1'!H4:H32873,"=Dağıtım-OG",'[7]TABLO-1'!J4:J32873,"=Dışsal",'[7]TABLO-1'!K4:K32873,"=Bildirimsiz",'[7]TABLO-1'!I4:I32873,"=Uzun",'[7]TABLO-1'!C4:C32873,"=KIRKLARELİ")/P6</f>
        <v>1.4104372355430183E-3</v>
      </c>
      <c r="E34" s="10">
        <f>SUMIFS('[7]TABLO-1'!P4:P32873,'[7]TABLO-1'!H4:H32873,"=Dağıtım-OG",'[7]TABLO-1'!J4:J32873,"=Dışsal",'[7]TABLO-1'!K4:K32873,"=Bildirimsiz",'[7]TABLO-1'!I4:I32873,"=Uzun",'[7]TABLO-1'!C4:C32873,"=KIRKLARELİ")/P12</f>
        <v>1.1192159552577428E-2</v>
      </c>
      <c r="F34" s="10">
        <f t="shared" si="10"/>
        <v>1.1146632705979664E-2</v>
      </c>
      <c r="G34" s="10">
        <f>SUMIFS('[7]TABLO-1'!Q4:Q32873,'[7]TABLO-1'!H4:H32873,"=Dağıtım-OG",'[7]TABLO-1'!J4:J32873,"=Dışsal",'[7]TABLO-1'!K4:K32873,"=Bildirimsiz",'[7]TABLO-1'!I4:I32873,"=Uzun",'[7]TABLO-1'!C4:C32873,"=KIRKLARELİ")/P7</f>
        <v>5.0632911392405064E-3</v>
      </c>
      <c r="H34" s="10">
        <f>SUMIFS('[7]TABLO-1'!R4:R32873,'[7]TABLO-1'!H4:H32873,"=Dağıtım-OG",'[7]TABLO-1'!J4:J32873,"=Dışsal",'[7]TABLO-1'!K4:K32873,"=Bildirimsiz",'[7]TABLO-1'!I4:I32873,"=Uzun",'[7]TABLO-1'!C4:C32873,"=KIRKLARELİ")/P13</f>
        <v>0</v>
      </c>
      <c r="I34" s="10">
        <f t="shared" si="11"/>
        <v>4.2295816943704268E-5</v>
      </c>
      <c r="J34" s="10">
        <f>SUMIFS('[7]TABLO-1'!S4:S32873,'[7]TABLO-1'!H4:H32873,"=Dağıtım-OG",'[7]TABLO-1'!J4:J32873,"=Dışsal",'[7]TABLO-1'!K4:K32873,"=Bildirimsiz",'[7]TABLO-1'!I4:I32873,"=Uzun",'[7]TABLO-1'!C4:C32873,"=KIRKLARELİ")/P8</f>
        <v>3.0674846625766872E-3</v>
      </c>
      <c r="K34" s="10">
        <f>SUMIFS('[7]TABLO-1'!T4:T32873,'[7]TABLO-1'!H4:H32873,"=Dağıtım-OG",'[7]TABLO-1'!J4:J32873,"=Dışsal",'[7]TABLO-1'!K4:K32873,"=bildirimsiz",'[7]TABLO-1'!I4:I32873,"=Uzun",'[7]TABLO-1'!C4:C32873,"=KIRKLARELİ")/P14</f>
        <v>1.4364720247073189E-4</v>
      </c>
      <c r="L34" s="10">
        <f t="shared" si="12"/>
        <v>2.1054109060284932E-4</v>
      </c>
      <c r="M34" s="11">
        <f t="shared" si="13"/>
        <v>6.6714728289460866E-3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Sebep",'[7]TABLO-1'!K4:K32873,"=Bildirimsiz",'[7]TABLO-1'!I4:I32873,"=Uzun",'[7]TABLO-1'!C4:C32873,"=KIRKLARELİ")/P6</f>
        <v>0</v>
      </c>
      <c r="E35" s="10">
        <f>SUMIFS('[7]TABLO-1'!P4:P32873,'[7]TABLO-1'!H4:H32873,"=Dağıtım-OG",'[7]TABLO-1'!J4:J32873,"=Mücbir Sebep",'[7]TABLO-1'!K4:K32873,"=Bildirimsiz",'[7]TABLO-1'!I4:I32873,"=Uzun",'[7]TABLO-1'!C4:C32873,"=KIRKLARELİ")/P12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Sebep",'[7]TABLO-1'!K4:K32873,"=Bildirimsiz",'[7]TABLO-1'!I4:I32873,"=Uzun",'[7]TABLO-1'!C4:C32873,"=KIRKLARELİ")/P7</f>
        <v>0</v>
      </c>
      <c r="H35" s="10">
        <f>SUMIFS('[7]TABLO-1'!R4:R32873,'[7]TABLO-1'!H4:H32873,"=Dağıtım-OG",'[7]TABLO-1'!J4:J32873,"=Mücbir Sebep",'[7]TABLO-1'!K4:K32873,"=Bildirimsiz",'[7]TABLO-1'!I4:I32873,"=Uzun",'[7]TABLO-1'!C4:C32873,"=KIRKLARELİ")/P13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Sebep",'[7]TABLO-1'!K4:K32873,"=Bildirimsiz",'[7]TABLO-1'!I4:I32873,"=Uzun",'[7]TABLO-1'!C4:C32873,"=KIRKLARELİ")/P8</f>
        <v>0</v>
      </c>
      <c r="K35" s="10">
        <f>SUMIFS('[7]TABLO-1'!T4:T32873,'[7]TABLO-1'!H4:H32873,"=Dağıtım-OG",'[7]TABLO-1'!J4:J32873,"=Mücbir Sebep",'[7]TABLO-1'!K4:K32873,"=bildirimsiz",'[7]TABLO-1'!I4:I32873,"=Uzun",'[7]TABLO-1'!C4:C32873,"=KIRKLARELİ")/P14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SUMIFS('[7]TABLO-1'!O4:O32873,'[7]TABLO-1'!H4:H32873,"=Dağıtım-OG",'[7]TABLO-1'!J4:J32873,"=Güvenlik",'[7]TABLO-1'!K4:K32873,"=Bildirimsiz",'[7]TABLO-1'!I4:I32873,"=Uzun",'[7]TABLO-1'!C4:C32873,"=KIRKLARELİ")/P6</f>
        <v>0</v>
      </c>
      <c r="E36" s="10">
        <f>SUMIFS('[7]TABLO-1'!P4:P32873,'[7]TABLO-1'!H4:H32873,"=Dağıtım-OG",'[7]TABLO-1'!J4:J32873,"=Güvenlik",'[7]TABLO-1'!K4:K32873,"=Bildirimsiz",'[7]TABLO-1'!I4:I32873,"=Uzun",'[7]TABLO-1'!C4:C32873,"=KIRKLARELİ")/P12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SUMIFS('[7]TABLO-1'!Q4:Q32873,'[7]TABLO-1'!H4:H32873,"=Dağıtım-OG",'[7]TABLO-1'!J4:J32873,"=Güvenlik",'[7]TABLO-1'!K4:K32873,"=Bildirimsiz",'[7]TABLO-1'!I4:I32873,"=Uzun",'[7]TABLO-1'!C4:C32873,"=KIRKLARELİ")/P7</f>
        <v>0</v>
      </c>
      <c r="H36" s="10">
        <f>SUMIFS('[7]TABLO-1'!R4:R32873,'[7]TABLO-1'!H4:H32873,"=Dağıtım-OG",'[7]TABLO-1'!J4:J32873,"=Güvenlik",'[7]TABLO-1'!K4:K32873,"=Bildirimsiz",'[7]TABLO-1'!I4:I32873,"=Uzun",'[7]TABLO-1'!C4:C32873,"=KIRKLARELİ")/P13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SUMIFS('[7]TABLO-1'!S4:S32873,'[7]TABLO-1'!H4:H32873,"=Dağıtım-OG",'[7]TABLO-1'!J4:J32873,"=Güvenlik",'[7]TABLO-1'!K4:K32873,"=Bildirimsiz",'[7]TABLO-1'!I4:I32873,"=Uzun",'[7]TABLO-1'!C4:C32873,"=KIRKLARELİ")/P8</f>
        <v>0</v>
      </c>
      <c r="K36" s="10">
        <f>SUMIFS('[7]TABLO-1'!T4:T32873,'[7]TABLO-1'!H4:H32873,"=Dağıtım-OG",'[7]TABLO-1'!J4:J32873,"=Güvenlik",'[7]TABLO-1'!K4:K32873,"=bildirimsiz",'[7]TABLO-1'!I4:I32873,"=Uzun",'[7]TABLO-1'!C4:C32873,"=KIRKLARELİ")/P14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İşletmecisi",'[7]TABLO-1'!K4:K32873,"=Bildirimsiz",'[7]TABLO-1'!I4:I32873,"=Uzun",'[7]TABLO-1'!C4:C32873,"=KIRKLARELİ")/P6</f>
        <v>0</v>
      </c>
      <c r="E37" s="10">
        <f>SUMIFS('[7]TABLO-1'!P4:P32873,'[7]TABLO-1'!H4:H32873,"=Dağıtım-AG",'[7]TABLO-1'!J4:J32873,"=Şebeke İşletmecisi",'[7]TABLO-1'!K4:K32873,"=Bildirimsiz",'[7]TABLO-1'!I4:I32873,"=Uzun",'[7]TABLO-1'!C4:C32873,"=KIRKLARELİ")/P12</f>
        <v>5.7444731704743311E-2</v>
      </c>
      <c r="F37" s="10">
        <f t="shared" si="10"/>
        <v>5.7177368002993445E-2</v>
      </c>
      <c r="G37" s="12">
        <f>SUMIFS('[7]TABLO-1'!Q4:Q32873,'[7]TABLO-1'!H4:H32873,"=Dağıtım-AG",'[7]TABLO-1'!J4:J32873,"=Şebeke İşletmecisi",'[7]TABLO-1'!K4:K32873,"=Bildirimsiz",'[7]TABLO-1'!I4:I32873,"=Uzun",'[7]TABLO-1'!C4:C32873,"=KIRKLARELİ")/P7</f>
        <v>0</v>
      </c>
      <c r="H37" s="10">
        <f>SUMIFS('[7]TABLO-1'!R4:R32873,'[7]TABLO-1'!H4:H32873,"=Dağıtım-AG",'[7]TABLO-1'!J4:J32873,"=Şebeke İşletmecisi",'[7]TABLO-1'!K4:K32873,"=Bildirimsiz",'[7]TABLO-1'!I4:I32873,"=Uzun",'[7]TABLO-1'!C4:C32873,"=KIRKLARELİ")/P13</f>
        <v>0.10027510609711884</v>
      </c>
      <c r="I37" s="10">
        <f t="shared" si="11"/>
        <v>9.9437465634648739E-2</v>
      </c>
      <c r="J37" s="12">
        <f>SUMIFS('[7]TABLO-1'!S4:S32873,'[7]TABLO-1'!H4:H32873,"=Dağıtım-AG",'[7]TABLO-1'!J4:J32873,"=Şebeke İşletmecisi",'[7]TABLO-1'!K4:K32873,"=Bildirimsiz",'[7]TABLO-1'!I4:I32873,"=Uzun",'[7]TABLO-1'!C4:C32873,"=KIRKLARELİ")/P8</f>
        <v>0</v>
      </c>
      <c r="K37" s="10">
        <f>SUMIFS('[7]TABLO-1'!T4:T32873,'[7]TABLO-1'!H4:H32873,"=Dağıtım-AG",'[7]TABLO-1'!J4:J32873,"=Şebeke İşletmecisi",'[7]TABLO-1'!K4:K32873,"=bildirimsiz",'[7]TABLO-1'!I4:I32873,"=Uzun",'[7]TABLO-1'!C4:C32873,"=KIRKLARELİ")/P14</f>
        <v>0.14806435394670689</v>
      </c>
      <c r="L37" s="10">
        <f t="shared" si="12"/>
        <v>0.14467681942592461</v>
      </c>
      <c r="M37" s="11">
        <f t="shared" si="13"/>
        <v>8.4398807552169594E-2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SUMIFS('[7]TABLO-1'!O4:O32873,'[7]TABLO-1'!H4:H32873,"=Dağıtım-AG",'[7]TABLO-1'!J4:J32873,"=Dışsal",'[7]TABLO-1'!K4:K32873,"=Bildirimsiz",'[7]TABLO-1'!I4:I32873,"=Uzun",'[7]TABLO-1'!C4:C32873,"=KIRKLARELİ")/P6</f>
        <v>0</v>
      </c>
      <c r="E38" s="10">
        <f>SUMIFS('[7]TABLO-1'!P4:P32873,'[7]TABLO-1'!H4:H32873,"=Dağıtım-AG",'[7]TABLO-1'!J4:J32873,"=Dışsal",'[7]TABLO-1'!K4:K32873,"=Bildirimsiz",'[7]TABLO-1'!I4:I32873,"=Uzun",'[7]TABLO-1'!C4:C32873,"=KIRKLARELİ")/P12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SUMIFS('[7]TABLO-1'!Q4:Q32873,'[7]TABLO-1'!H4:H32873,"=Dağıtım-AG",'[7]TABLO-1'!J4:J32873,"=Dışsal",'[7]TABLO-1'!K4:K32873,"=Bildirimsiz",'[7]TABLO-1'!I4:I32873,"=Uzun",'[7]TABLO-1'!C4:C32873,"=KIRKLARELİ")/P7</f>
        <v>0</v>
      </c>
      <c r="H38" s="10">
        <f>SUMIFS('[7]TABLO-1'!R4:R32873,'[7]TABLO-1'!H4:H32873,"=Dağıtım-AG",'[7]TABLO-1'!J4:J32873,"=Dışsal",'[7]TABLO-1'!K4:K32873,"=Bildirimsiz",'[7]TABLO-1'!I4:I32873,"=Uzun",'[7]TABLO-1'!C4:C32873,"=KIRKLARELİ")/P13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SUMIFS('[7]TABLO-1'!S4:S32873,'[7]TABLO-1'!H4:H32873,"=Dağıtım-AG",'[7]TABLO-1'!J4:J32873,"=Dışsal",'[7]TABLO-1'!K4:K32873,"=Bildirimsiz",'[7]TABLO-1'!I4:I32873,"=Uzun",'[7]TABLO-1'!C4:C32873,"=KIRKLARELİ")/P8</f>
        <v>0</v>
      </c>
      <c r="K38" s="10">
        <f>SUMIFS('[7]TABLO-1'!T4:T32873,'[7]TABLO-1'!H4:H32873,"=Dağıtım-AG",'[7]TABLO-1'!J4:J32873,"=Dışsal",'[7]TABLO-1'!K4:K32873,"=bildirimsiz",'[7]TABLO-1'!I4:I32873,"=Uzun",'[7]TABLO-1'!C4:C32873,"=KIRKLARELİ")/P14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Sebep",'[7]TABLO-1'!K4:K32873,"=Bildirimsiz",'[7]TABLO-1'!I4:I32873,"=Uzun",'[7]TABLO-1'!C4:C32873,"=KIRKLARELİ")/P6</f>
        <v>0</v>
      </c>
      <c r="E39" s="10">
        <f>SUMIFS('[7]TABLO-1'!P4:P32873,'[7]TABLO-1'!H4:H32873,"=Dağıtım-AG",'[7]TABLO-1'!J4:J32873,"=Mücbir Sebep",'[7]TABLO-1'!K4:K32873,"=Bildirimsiz",'[7]TABLO-1'!I4:I32873,"=Uzun",'[7]TABLO-1'!C4:C32873,"=KIRKLARELİ")/P12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Sebep",'[7]TABLO-1'!K4:K32873,"=Bildirimsiz",'[7]TABLO-1'!I4:I32873,"=Uzun",'[7]TABLO-1'!C4:C32873,"=KIRKLARELİ")/P7</f>
        <v>0</v>
      </c>
      <c r="H39" s="10">
        <f>SUMIFS('[7]TABLO-1'!R4:R32873,'[7]TABLO-1'!H4:H32873,"=Dağıtım-AG",'[7]TABLO-1'!J4:J32873,"=Mücbir Sebep",'[7]TABLO-1'!K4:K32873,"=Bildirimsiz",'[7]TABLO-1'!I4:I32873,"=Uzun",'[7]TABLO-1'!C4:C32873,"=KIRKLARELİ")/P13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Sebep",'[7]TABLO-1'!K4:K32873,"=Bildirimsiz",'[7]TABLO-1'!I4:I32873,"=Uzun",'[7]TABLO-1'!C4:C32873,"=KIRKLARELİ")/P8</f>
        <v>0</v>
      </c>
      <c r="K39" s="10">
        <f>SUMIFS('[7]TABLO-1'!T4:T32873,'[7]TABLO-1'!H4:H32873,"=Dağıtım-AG",'[7]TABLO-1'!J4:J32873,"=Mücbir Sebep",'[7]TABLO-1'!K4:K32873,"=bildirimsiz",'[7]TABLO-1'!I4:I32873,"=Uzun",'[7]TABLO-1'!C4:C32873,"=KIRKLARELİ")/P14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SUMIFS('[7]TABLO-1'!O4:O32873,'[7]TABLO-1'!H4:H32873,"=Dağıtım-AG",'[7]TABLO-1'!J4:J32873,"=Güvenlik",'[7]TABLO-1'!K4:K32873,"=Bildirimsiz",'[7]TABLO-1'!I4:I32873,"=Uzun",'[7]TABLO-1'!C4:C32873,"=KIRKLARELİ")/P6</f>
        <v>0</v>
      </c>
      <c r="E40" s="10">
        <f>SUMIFS('[7]TABLO-1'!P4:P32873,'[7]TABLO-1'!H4:H32873,"=Dağıtım-AG",'[7]TABLO-1'!J4:J32873,"=Güvenlik",'[7]TABLO-1'!K4:K32873,"=Bildirimsiz",'[7]TABLO-1'!I4:I32873,"=Uzun",'[7]TABLO-1'!C4:C32873,"=KIRKLARELİ")/P12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SUMIFS('[7]TABLO-1'!Q4:Q32873,'[7]TABLO-1'!H4:H32873,"=Dağıtım-AG",'[7]TABLO-1'!J4:J32873,"=Güvenlik",'[7]TABLO-1'!K4:K32873,"=Bildirimsiz",'[7]TABLO-1'!I4:I32873,"=Uzun",'[7]TABLO-1'!C4:C32873,"=KIRKLARELİ")/P7</f>
        <v>0</v>
      </c>
      <c r="H40" s="10">
        <f>SUMIFS('[7]TABLO-1'!R4:R32873,'[7]TABLO-1'!H4:H32873,"=Dağıtım-AG",'[7]TABLO-1'!J4:J32873,"=Güvenlik",'[7]TABLO-1'!K4:K32873,"=Bildirimsiz",'[7]TABLO-1'!I4:I32873,"=Uzun",'[7]TABLO-1'!C4:C32873,"=KIRKLARELİ")/P13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SUMIFS('[7]TABLO-1'!S4:S32873,'[7]TABLO-1'!H4:H32873,"=Dağıtım-AG",'[7]TABLO-1'!J4:J32873,"=Güvenlik",'[7]TABLO-1'!K4:K32873,"=Bildirimsiz",'[7]TABLO-1'!I4:I32873,"=Uzun",'[7]TABLO-1'!C4:C32873,"=KIRKLARELİ")/P8</f>
        <v>0</v>
      </c>
      <c r="K40" s="10">
        <f>SUMIFS('[7]TABLO-1'!T4:T32873,'[7]TABLO-1'!H4:H32873,"=Dağıtım-AG",'[7]TABLO-1'!J4:J32873,"=Güvenlik",'[7]TABLO-1'!K4:K32873,"=bildirimsiz",'[7]TABLO-1'!I4:I32873,"=Uzun",'[7]TABLO-1'!C4:C32873,"=KIRKLARELİ")/P14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1.2609308885754584</v>
      </c>
      <c r="E41" s="10">
        <f t="shared" ref="E41:M41" si="14">SUM(E31:E40)</f>
        <v>1.329189310399409</v>
      </c>
      <c r="F41" s="10">
        <f t="shared" si="14"/>
        <v>1.3288716167869077</v>
      </c>
      <c r="G41" s="10">
        <f t="shared" si="14"/>
        <v>1.5316455696202531</v>
      </c>
      <c r="H41" s="10">
        <f t="shared" si="14"/>
        <v>1.0903584909684161</v>
      </c>
      <c r="I41" s="10">
        <f t="shared" si="14"/>
        <v>1.0940447489743266</v>
      </c>
      <c r="J41" s="10">
        <f t="shared" si="14"/>
        <v>2.5191717791411041</v>
      </c>
      <c r="K41" s="10">
        <f t="shared" si="14"/>
        <v>2.9744128420599005</v>
      </c>
      <c r="L41" s="10">
        <f t="shared" si="14"/>
        <v>2.9639974735069128</v>
      </c>
      <c r="M41" s="10">
        <f t="shared" si="14"/>
        <v>1.6487734543966641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İşletmecisi",'[7]TABLO-1'!K4:K32873,"=Bildirimli",'[7]TABLO-1'!I4:I32873,"=Uzun",'[7]TABLO-1'!C4:C32873,"=KIRKLARELİ")/P6</f>
        <v>0</v>
      </c>
      <c r="E46" s="10">
        <f>SUMIFS('[7]TABLO-1'!P4:P32873,'[7]TABLO-1'!H4:H32873,"=İletim",'[7]TABLO-1'!J4:J32873,"=Şebeke İşletmecisi",'[7]TABLO-1'!K4:K32873,"=Bildirimli",'[7]TABLO-1'!I4:I32873,"=Uzun",'[7]TABLO-1'!C4:C32873,"=KIRKLARELİ")/P12</f>
        <v>1.7807207302274045E-4</v>
      </c>
      <c r="F46" s="10">
        <f>IFERROR((((D46*$P$6)+(E46*$P$12))/$P$17),"0,00")</f>
        <v>1.7724327624349287E-4</v>
      </c>
      <c r="G46" s="10">
        <f>SUMIFS('[7]TABLO-1'!Q4:Q32873,'[7]TABLO-1'!H4:H32873,"=İletim",'[7]TABLO-1'!J4:J32873,"=Şebeke İşletmecisi",'[7]TABLO-1'!K4:K32873,"=Bildirimli",'[7]TABLO-1'!I4:I32873,"=Uzun",'[7]TABLO-1'!C4:C32873,"=KIRKLARELİ")/P7</f>
        <v>7.0886075949367092E-2</v>
      </c>
      <c r="H46" s="10">
        <f>SUMIFS('[7]TABLO-1'!R4:R32873,'[7]TABLO-1'!H4:H32873,"=İletim",'[7]TABLO-1'!J4:J32873,"=Şebeke İşletmecisi",'[7]TABLO-1'!K4:K32873,"=Bildirimli",'[7]TABLO-1'!I4:I32873,"=Uzun",'[7]TABLO-1'!C4:C32873,"=KIRKLARELİ")/P13</f>
        <v>2.8662216630056941E-2</v>
      </c>
      <c r="I46" s="10">
        <f>IFERROR((((G46*$P$7)+(H46*$P$13))/$P$20),"0,00")</f>
        <v>2.9014930423381127E-2</v>
      </c>
      <c r="J46" s="10">
        <f>SUMIFS('[7]TABLO-1'!S4:S32873,'[7]TABLO-1'!H4:H32873,"=İletim",'[7]TABLO-1'!J4:J32873,"=Şebeke İşletmecisi",'[7]TABLO-1'!K4:K32873,"=Bildirimli",'[7]TABLO-1'!I4:I32873,"=Uzun",'[7]TABLO-1'!C4:C32873,"=KIRKLARELİ")/P8</f>
        <v>6.0582822085889568E-2</v>
      </c>
      <c r="K46" s="10">
        <f>SUMIFS('[7]TABLO-1'!T4:T32873,'[7]TABLO-1'!H4:H32873,"=İletim",'[7]TABLO-1'!J4:J32873,"=Şebeke İşletmecisi",'[7]TABLO-1'!K4:K32873,"=bildirimli",'[7]TABLO-1'!I4:I32873,"=Uzun",'[7]TABLO-1'!C4:C32873,"=KIRKLARELİ")/P14</f>
        <v>7.4121956474897652E-2</v>
      </c>
      <c r="L46" s="10">
        <f>IFERROR((((J46*$P$8)+(K46*$P$14))/$P$23),"0,00")</f>
        <v>7.3812197347182265E-2</v>
      </c>
      <c r="M46" s="11">
        <f>IFERROR((((F46*$P$17)+(I46*$P$20)+(L46*$P$23))/$P$26),"0,00")</f>
        <v>2.1845956004130702E-2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İşletmecisi",'[7]TABLO-1'!K4:K32873,"=Bildirimli",'[7]TABLO-1'!I4:I32873,"=Uzun",'[7]TABLO-1'!C4:C32873,"=KIRKLARELİ")/P6</f>
        <v>0.13399153737658676</v>
      </c>
      <c r="E47" s="10">
        <f>SUMIFS('[7]TABLO-1'!P4:P32873,'[7]TABLO-1'!H4:H32873,"=Dağıtım-OG",'[7]TABLO-1'!J4:J32873,"=Şebeke İşletmecisi",'[7]TABLO-1'!K4:K32873,"=Bildirimli",'[7]TABLO-1'!I4:I32873,"=Uzun",'[7]TABLO-1'!C4:C32873,"=KIRKLARELİ")/P12</f>
        <v>0.38177992929879173</v>
      </c>
      <c r="F47" s="10">
        <f t="shared" ref="F47:F50" si="15">IFERROR((((D47*$P$6)+(E47*$P$12))/$P$17),"0,00")</f>
        <v>0.38062665345000757</v>
      </c>
      <c r="G47" s="10">
        <f>SUMIFS('[7]TABLO-1'!Q4:Q32873,'[7]TABLO-1'!H4:H32873,"=Dağıtım-OG",'[7]TABLO-1'!J4:J32873,"=Şebeke İşletmecisi",'[7]TABLO-1'!K4:K32873,"=Bildirimli",'[7]TABLO-1'!I4:I32873,"=Uzun",'[7]TABLO-1'!C4:C32873,"=KIRKLARELİ")/P7</f>
        <v>9.8734177215189872E-2</v>
      </c>
      <c r="H47" s="10">
        <f>SUMIFS('[7]TABLO-1'!R4:R32873,'[7]TABLO-1'!H4:H32873,"=Dağıtım-OG",'[7]TABLO-1'!J4:J32873,"=Şebeke İşletmecisi",'[7]TABLO-1'!K4:K32873,"=Bildirimli",'[7]TABLO-1'!I4:I32873,"=Uzun",'[7]TABLO-1'!C4:C32873,"=KIRKLARELİ")/P13</f>
        <v>0.15211874346889595</v>
      </c>
      <c r="I47" s="10">
        <f t="shared" ref="I47:I50" si="16">IFERROR((((G47*$P$7)+(H47*$P$13))/$P$20),"0,00")</f>
        <v>0.1516727995601235</v>
      </c>
      <c r="J47" s="10">
        <f>SUMIFS('[7]TABLO-1'!S4:S32873,'[7]TABLO-1'!H4:H32873,"=Dağıtım-OG",'[7]TABLO-1'!J4:J32873,"=Şebeke İşletmecisi",'[7]TABLO-1'!K4:K32873,"=Bildirimli",'[7]TABLO-1'!I4:I32873,"=Uzun",'[7]TABLO-1'!C4:C32873,"=KIRKLARELİ")/P8</f>
        <v>0.21242331288343558</v>
      </c>
      <c r="K47" s="10">
        <f>SUMIFS('[7]TABLO-1'!T4:T32873,'[7]TABLO-1'!H4:H32873,"=Dağıtım-OG",'[7]TABLO-1'!J4:J32873,"=Şebeke İşletmecisi",'[7]TABLO-1'!K4:K32873,"=bildirimli",'[7]TABLO-1'!I4:I32873,"=Uzun",'[7]TABLO-1'!C4:C32873,"=KIRKLARELİ")/P14</f>
        <v>0.31363571069453422</v>
      </c>
      <c r="L47" s="10">
        <f t="shared" ref="L47:L50" si="17">IFERROR((((J47*$P$8)+(K47*$P$14))/$P$23),"0,00")</f>
        <v>0.31132009263807986</v>
      </c>
      <c r="M47" s="11">
        <f t="shared" ref="M47:M50" si="18">IFERROR((((F47*$P$17)+(I47*$P$20)+(L47*$P$23))/$P$26),"0,00")</f>
        <v>0.32304424916704011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SUMIFS('[7]TABLO-1'!O4:O32873,'[7]TABLO-1'!H4:H32873,"=Dağıtım-OG",'[7]TABLO-1'!J4:J32873,"=Güvenlik",'[7]TABLO-1'!K4:K32873,"=Bildirimli",'[7]TABLO-1'!I4:I32873,"=Uzun",'[7]TABLO-1'!C4:C32873,"=KIRKLARELİ")/P6</f>
        <v>0</v>
      </c>
      <c r="E48" s="10">
        <f>SUMIFS('[7]TABLO-1'!P4:P32873,'[7]TABLO-1'!H4:H32873,"=Dağıtım-OG",'[7]TABLO-1'!J4:J32873,"=Güvenlik",'[7]TABLO-1'!K4:K32873,"=Bildirimli",'[7]TABLO-1'!I4:I32873,"=Uzun",'[7]TABLO-1'!C4:C32873,"=KIRKLARELİ")/P12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SUMIFS('[7]TABLO-1'!Q4:Q32873,'[7]TABLO-1'!H4:H32873,"=Dağıtım-OG",'[7]TABLO-1'!J4:J32873,"=Güvenlik",'[7]TABLO-1'!K4:K32873,"=Bildirimli",'[7]TABLO-1'!I4:I32873,"=Uzun",'[7]TABLO-1'!C4:C32873,"=KIRKLARELİ")/P7</f>
        <v>0</v>
      </c>
      <c r="H48" s="10">
        <f>SUMIFS('[7]TABLO-1'!R4:R32873,'[7]TABLO-1'!H4:H32873,"=Dağıtım-OG",'[7]TABLO-1'!J4:J32873,"=Güvenlik",'[7]TABLO-1'!K4:K32873,"=Bildirimli",'[7]TABLO-1'!I4:I32873,"=Uzun",'[7]TABLO-1'!C4:C32873,"=KIRKLARELİ")/P13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SUMIFS('[7]TABLO-1'!S4:S32873,'[7]TABLO-1'!H4:H32873,"=Dağıtım-OG",'[7]TABLO-1'!J4:J32873,"=Güvenlik",'[7]TABLO-1'!K4:K32873,"=Bildirimli",'[7]TABLO-1'!I4:I32873,"=Uzun",'[7]TABLO-1'!C4:C32873,"=KIRKLARELİ")/P8</f>
        <v>0</v>
      </c>
      <c r="K48" s="10">
        <f>SUMIFS('[7]TABLO-1'!T4:T32873,'[7]TABLO-1'!H4:H32873,"=Dağıtım-OG",'[7]TABLO-1'!J4:J32873,"=Güvenlik",'[7]TABLO-1'!K4:K32873,"=bildirimli",'[7]TABLO-1'!I4:I32873,"=Uzun",'[7]TABLO-1'!C4:C32873,"=KIRKLARELİ")/P14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İşletmecisi",'[7]TABLO-1'!K4:K32873,"=Bildirimli",'[7]TABLO-1'!I4:I32873,"=Uzun",'[7]TABLO-1'!C4:C32873,"=KIRKLARELİ")/P6</f>
        <v>0</v>
      </c>
      <c r="E49" s="10">
        <f>SUMIFS('[7]TABLO-1'!P4:P32873,'[7]TABLO-1'!H4:H32873,"=Dağıtım-AG",'[7]TABLO-1'!J4:J32873,"=Şebeke İşletmecisi",'[7]TABLO-1'!K4:K32873,"=Bildirimli",'[7]TABLO-1'!I4:I32873,"=Uzun",'[7]TABLO-1'!C4:C32873,"=KIRKLARELİ")/P12</f>
        <v>1.9937476916583128E-2</v>
      </c>
      <c r="F49" s="10">
        <f t="shared" si="15"/>
        <v>1.9844682373484406E-2</v>
      </c>
      <c r="G49" s="12">
        <f>SUMIFS('[7]TABLO-1'!Q4:Q32873,'[7]TABLO-1'!H4:H32873,"=Dağıtım-AG",'[7]TABLO-1'!J4:J32873,"=Şebeke İşletmecisi",'[7]TABLO-1'!K4:K32873,"=Bildirimli",'[7]TABLO-1'!I4:I32873,"=Uzun",'[7]TABLO-1'!C4:C32873,"=KIRKLARELİ")/P7</f>
        <v>0</v>
      </c>
      <c r="H49" s="10">
        <f>SUMIFS('[7]TABLO-1'!R4:R32873,'[7]TABLO-1'!H4:H32873,"=Dağıtım-AG",'[7]TABLO-1'!J4:J32873,"=Şebeke İşletmecisi",'[7]TABLO-1'!K4:K32873,"=Bildirimli",'[7]TABLO-1'!I4:I32873,"=Uzun",'[7]TABLO-1'!C4:C32873,"=KIRKLARELİ")/P13</f>
        <v>5.2035571858139087E-3</v>
      </c>
      <c r="I49" s="10">
        <f t="shared" si="16"/>
        <v>5.1600896671319205E-3</v>
      </c>
      <c r="J49" s="12">
        <f>SUMIFS('[7]TABLO-1'!S4:S32873,'[7]TABLO-1'!H4:H32873,"=Dağıtım-AG",'[7]TABLO-1'!J4:J32873,"=Şebeke İşletmecisi",'[7]TABLO-1'!K4:K32873,"=Bildirimli",'[7]TABLO-1'!I4:I32873,"=Uzun",'[7]TABLO-1'!C4:C32873,"=KIRKLARELİ")/P8</f>
        <v>0</v>
      </c>
      <c r="K49" s="10">
        <f>SUMIFS('[7]TABLO-1'!T4:T32873,'[7]TABLO-1'!H4:H32873,"=Dağıtım-AG",'[7]TABLO-1'!J4:J32873,"=Şebeke İşletmecisi",'[7]TABLO-1'!K4:K32873,"=bildirimli",'[7]TABLO-1'!I4:I32873,"=Uzun",'[7]TABLO-1'!C4:C32873,"=KIRKLARELİ")/P14</f>
        <v>2.0487682252388135E-2</v>
      </c>
      <c r="L49" s="10">
        <f t="shared" si="17"/>
        <v>2.0018948698154255E-2</v>
      </c>
      <c r="M49" s="11">
        <f t="shared" si="18"/>
        <v>1.7177483779202307E-2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SUMIFS('[7]TABLO-1'!O4:O32873,'[7]TABLO-1'!H4:H32873,"=Dağıtım-AG",'[7]TABLO-1'!J4:J32873,"=Güvenlik",'[7]TABLO-1'!K4:K32873,"=Bildirimli",'[7]TABLO-1'!I4:I32873,"=Uzun",'[7]TABLO-1'!C4:C32873,"=KIRKLARELİ")/P6</f>
        <v>0</v>
      </c>
      <c r="E50" s="10">
        <f>SUMIFS('[7]TABLO-1'!P4:P32873,'[7]TABLO-1'!H4:H32873,"=Dağıtım-AG",'[7]TABLO-1'!J4:J32873,"=Güvenlik",'[7]TABLO-1'!K4:K32873,"=Bildirimli",'[7]TABLO-1'!I4:I32873,"=Uzun",'[7]TABLO-1'!C4:C32873,"=KIRKLARELİ")/P12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SUMIFS('[7]TABLO-1'!Q4:Q32873,'[7]TABLO-1'!H4:H32873,"=Dağıtım-AG",'[7]TABLO-1'!J4:J32873,"=Güvenlik",'[7]TABLO-1'!K4:K32873,"=Bildirimli",'[7]TABLO-1'!I4:I32873,"=Uzun",'[7]TABLO-1'!C4:C32873,"=KIRKLARELİ")/P7</f>
        <v>0</v>
      </c>
      <c r="H50" s="10">
        <f>SUMIFS('[7]TABLO-1'!R4:R32873,'[7]TABLO-1'!H4:H32873,"=Dağıtım-AG",'[7]TABLO-1'!J4:J32873,"=Güvenlik",'[7]TABLO-1'!K4:K32873,"=Bildirimli",'[7]TABLO-1'!I4:I32873,"=Uzun",'[7]TABLO-1'!C4:C32873,"=KIRKLARELİ")/P13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SUMIFS('[7]TABLO-1'!S4:S32873,'[7]TABLO-1'!H4:H32873,"=Dağıtım-AG",'[7]TABLO-1'!J4:J32873,"=Güvenlik",'[7]TABLO-1'!K4:K32873,"=Bildirimli",'[7]TABLO-1'!I4:I32873,"=Uzun",'[7]TABLO-1'!C4:C32873,"=KIRKLARELİ")/P8</f>
        <v>0</v>
      </c>
      <c r="K50" s="10">
        <f>SUMIFS('[7]TABLO-1'!T4:T32873,'[7]TABLO-1'!H4:H32873,"=Dağıtım-AG",'[7]TABLO-1'!J4:J32873,"=Güvenlik",'[7]TABLO-1'!K4:K32873,"=bildirimli",'[7]TABLO-1'!I4:I32873,"=Uzun",'[7]TABLO-1'!C4:C32873,"=KIRKLARELİ")/P14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0.13399153737658676</v>
      </c>
      <c r="E51" s="10">
        <f t="shared" ref="E51:M51" si="19">SUM(E46:E50)</f>
        <v>0.40189547828839761</v>
      </c>
      <c r="F51" s="10">
        <f t="shared" si="19"/>
        <v>0.40064857909973545</v>
      </c>
      <c r="G51" s="10">
        <f t="shared" si="19"/>
        <v>0.16962025316455698</v>
      </c>
      <c r="H51" s="10">
        <f t="shared" si="19"/>
        <v>0.18598451728476681</v>
      </c>
      <c r="I51" s="10">
        <f t="shared" si="19"/>
        <v>0.18584781965063654</v>
      </c>
      <c r="J51" s="10">
        <f t="shared" si="19"/>
        <v>0.27300613496932513</v>
      </c>
      <c r="K51" s="10">
        <f t="shared" si="19"/>
        <v>0.40824534942182</v>
      </c>
      <c r="L51" s="10">
        <f t="shared" si="19"/>
        <v>0.40515123868341635</v>
      </c>
      <c r="M51" s="10">
        <f t="shared" si="19"/>
        <v>0.36206768895037311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SUMIFS('[7]TABLO-1'!O1:O32873,'[7]TABLO-1'!H1:H32873,"=İletim",'[7]TABLO-1'!K1:K32873,"=Bildirimsiz",'[7]TABLO-1'!I1:I32873,"=Kısa",'[7]TABLO-1'!C1:C32873,"=KIRKLARELİ")/P6</f>
        <v>0</v>
      </c>
      <c r="D56" s="10">
        <f>SUMIFS('[7]TABLO-1'!P1:P32873,'[7]TABLO-1'!H1:H32873,"=İletim",'[7]TABLO-1'!K1:K32873,"=Bildirimsiz",'[7]TABLO-1'!I1:I32873,"=Kısa",'[7]TABLO-1'!C1:C32873,"=KIRKLARELİ")/P12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SUMIFS('[7]TABLO-1'!Q1:Q32873,'[7]TABLO-1'!H1:H32873,"=İletim",'[7]TABLO-1'!K1:K32873,"=Bildirimsiz",'[7]TABLO-1'!I1:I32873,"=Kısa",'[7]TABLO-1'!C1:C32873,"=KIRKLARELİ")/P7</f>
        <v>0</v>
      </c>
      <c r="G56" s="10">
        <f>SUMIFS('[7]TABLO-1'!R1:R32873,'[7]TABLO-1'!H1:H32873,"=İletim",'[7]TABLO-1'!K1:K32873,"=Bildirimsiz",'[7]TABLO-1'!I1:I32873,"=Kısa",'[7]TABLO-1'!C1:C32873,"=KIRKLARELİ")/P13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SUMIFS('[7]TABLO-1'!S1:S32873,'[7]TABLO-1'!H1:H32873,"=İletim",'[7]TABLO-1'!K1:K32873,"=Bildirimsiz",'[7]TABLO-1'!I1:I32873,"=Kısa",'[7]TABLO-1'!C1:C32873,"=KIRKLARELİ")/P8</f>
        <v>0</v>
      </c>
      <c r="J56" s="10">
        <f>SUMIFS('[7]TABLO-1'!T1:T32873,'[7]TABLO-1'!H1:H32873,"=İletim",'[7]TABLO-1'!K1:K32873,"=Bildirimsiz",'[7]TABLO-1'!I1:I32873,"=Kısa",'[7]TABLO-1'!C1:C32873,"=KIRKLARELİ")/P14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SUMIFS('[7]TABLO-1'!O4:O32873,'[7]TABLO-1'!H4:H32873,"=Dağıtım-OG",'[7]TABLO-1'!K4:K32873,"=Bildirimsiz",'[7]TABLO-1'!I4:I32873,"=Kısa",'[7]TABLO-1'!C4:C32873,"=KIRKLARELİ")/P6</f>
        <v>0.32581100141043723</v>
      </c>
      <c r="D57" s="10">
        <f>SUMIFS('[7]TABLO-1'!P4:P32873,'[7]TABLO-1'!H4:H32873,"=Dağıtım-OG",'[7]TABLO-1'!K4:K32873,"=Bildirimsiz",'[7]TABLO-1'!I4:I32873,"=Kısa",'[7]TABLO-1'!C4:C32873,"=KIRKLARELİ")/P12</f>
        <v>0.26994407217854693</v>
      </c>
      <c r="E57" s="10">
        <f>IFERROR((((C57*$P$6)+(D57*$P$12))/$P$17),"0,00")</f>
        <v>0.27020409235031151</v>
      </c>
      <c r="F57" s="10">
        <f>SUMIFS('[7]TABLO-1'!Q4:Q32873,'[7]TABLO-1'!H4:H32873,"=Dağıtım-OG",'[7]TABLO-1'!K4:K32873,"=Bildirimsiz",'[7]TABLO-1'!I4:I32873,"=Kısa",'[7]TABLO-1'!C4:C32873,"=KIRKLARELİ")/P7</f>
        <v>0.30886075949367087</v>
      </c>
      <c r="G57" s="10">
        <f>SUMIFS('[7]TABLO-1'!R4:R32873,'[7]TABLO-1'!H4:H32873,"=Dağıtım-OG",'[7]TABLO-1'!K4:K32873,"=Bildirimsiz",'[7]TABLO-1'!I4:I32873,"=Kısa",'[7]TABLO-1'!C4:C32873,"=KIRKLARELİ")/P13</f>
        <v>0.23808406730502654</v>
      </c>
      <c r="H57" s="10">
        <f>IFERROR((((F57*$P$7)+(G57*$P$13))/$P$20),"0,00")</f>
        <v>0.23867529501332319</v>
      </c>
      <c r="I57" s="10">
        <f>SUMIFS('[7]TABLO-1'!S4:S32873,'[7]TABLO-1'!H4:H32873,"=Dağıtım-OG",'[7]TABLO-1'!K4:K32873,"=Bildirimsiz",'[7]TABLO-1'!I4:I32873,"=Kısa",'[7]TABLO-1'!C4:C32873,"=KIRKLARELİ")/P8</f>
        <v>1.1265337423312884</v>
      </c>
      <c r="J57" s="10">
        <f>SUMIFS('[7]TABLO-1'!T4:T32873,'[7]TABLO-1'!H4:H32873,"=Dağıtım-OG",'[7]TABLO-1'!K4:K32873,"=Bildirimsiz",'[7]TABLO-1'!I4:I32873,"=Kısa",'[7]TABLO-1'!C4:C32873,"=KIRKLARELİ")/P14</f>
        <v>1.0200746965452847</v>
      </c>
      <c r="K57" s="10">
        <f>IFERROR((((I57*$P$8)+(J57*$P$14))/$P$23),"0,00")</f>
        <v>1.0225103516036211</v>
      </c>
      <c r="L57" s="11">
        <f>IFERROR((((E57*$P$17)+(H57*$P$20)+(K57*$P$23))/$P$26),"0,00")</f>
        <v>0.43148685774409135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SUMIFS('[7]TABLO-1'!O4:O32873,'[7]TABLO-1'!H4:H32873,"=Dağıtım-AG",'[7]TABLO-1'!K4:K32873,"=Bildirimsiz",'[7]TABLO-1'!I4:I32873,"=Kısa",'[7]TABLO-1'!C4:C32873,"=KIRKLARELİ")/P6</f>
        <v>0</v>
      </c>
      <c r="D58" s="10">
        <f>SUMIFS('[7]TABLO-1'!P4:P32873,'[7]TABLO-1'!H4:H32873,"=Dağıtım-AG",'[7]TABLO-1'!K4:K32873,"=Bildirimsiz",'[7]TABLO-1'!I4:I32873,"=Kısa",'[7]TABLO-1'!C4:C32873,"=KIRKLARELİ")/P12</f>
        <v>1.8664591357568723E-3</v>
      </c>
      <c r="E58" s="10">
        <f>IFERROR((((C58*$P$6)+(D58*$P$12))/$P$17),"0,00")</f>
        <v>1.8577721176632771E-3</v>
      </c>
      <c r="F58" s="10">
        <f>SUMIFS('[7]TABLO-1'!Q4:Q32873,'[7]TABLO-1'!H4:H32873,"=Dağıtım-AG",'[7]TABLO-1'!K4:K32873,"=Bildirimsiz",'[7]TABLO-1'!I4:I32873,"=Kısa",'[7]TABLO-1'!C4:C32873,"=KIRKLARELİ")/P7</f>
        <v>0</v>
      </c>
      <c r="G58" s="10">
        <f>SUMIFS('[7]TABLO-1'!R4:R32873,'[7]TABLO-1'!H4:H32873,"=Dağıtım-AG",'[7]TABLO-1'!K4:K32873,"=Bildirimsiz",'[7]TABLO-1'!I4:I32873,"=Kısa",'[7]TABLO-1'!C4:C32873,"=KIRKLARELİ")/P13</f>
        <v>3.2202341600733615E-3</v>
      </c>
      <c r="H58" s="10">
        <f>IFERROR((((F58*$P$7)+(G58*$P$13))/$P$20),"0,00")</f>
        <v>3.1933341792496723E-3</v>
      </c>
      <c r="I58" s="10">
        <f>SUMIFS('[7]TABLO-1'!S4:S32873,'[7]TABLO-1'!H4:H32873,"=Dağıtım-AG",'[7]TABLO-1'!K4:K32873,"=Bildirimsiz",'[7]TABLO-1'!I4:I32873,"=Kısa",'[7]TABLO-1'!C4:C32873,"=KIRKLARELİ")/P8</f>
        <v>0</v>
      </c>
      <c r="J58" s="10">
        <f>SUMIFS('[7]TABLO-1'!T4:T32873,'[7]TABLO-1'!H4:H32873,"=Dağıtım-AG",'[7]TABLO-1'!K4:K32873,"=Bildirimsiz",'[7]TABLO-1'!I4:I32873,"=Kısa",'[7]TABLO-1'!C4:C32873,"=KIRKLARELİ")/P14</f>
        <v>6.3204769087122029E-3</v>
      </c>
      <c r="K58" s="10">
        <f>IFERROR((((I58*$P$8)+(J58*$P$14))/$P$23),"0,00")</f>
        <v>6.1758719910169138E-3</v>
      </c>
      <c r="L58" s="11">
        <f>IFERROR((((E58*$P$17)+(H58*$P$20)+(K58*$P$23))/$P$26),"0,00")</f>
        <v>3.0629542310465093E-3</v>
      </c>
    </row>
    <row r="59" spans="2:13" ht="15" customHeight="1" thickBot="1" x14ac:dyDescent="0.3">
      <c r="B59" s="30" t="s">
        <v>20</v>
      </c>
      <c r="C59" s="10">
        <f t="shared" ref="C59:L59" si="20">SUM(C56:C58)</f>
        <v>0.32581100141043723</v>
      </c>
      <c r="D59" s="10">
        <f t="shared" si="20"/>
        <v>0.27181053131430383</v>
      </c>
      <c r="E59" s="10">
        <f t="shared" si="20"/>
        <v>0.27206186446797481</v>
      </c>
      <c r="F59" s="10">
        <f t="shared" si="20"/>
        <v>0.30886075949367087</v>
      </c>
      <c r="G59" s="10">
        <f t="shared" si="20"/>
        <v>0.2413043014650999</v>
      </c>
      <c r="H59" s="10">
        <f t="shared" si="20"/>
        <v>0.24186862919257285</v>
      </c>
      <c r="I59" s="10">
        <f t="shared" si="20"/>
        <v>1.1265337423312884</v>
      </c>
      <c r="J59" s="10">
        <f t="shared" si="20"/>
        <v>1.0263951734539969</v>
      </c>
      <c r="K59" s="10">
        <f t="shared" si="20"/>
        <v>1.0286862235946381</v>
      </c>
      <c r="L59" s="10">
        <f t="shared" si="20"/>
        <v>0.43454981197513787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709</v>
      </c>
      <c r="D65" s="27">
        <f>P12</f>
        <v>151624</v>
      </c>
      <c r="E65" s="27">
        <f>C65+D65</f>
        <v>152333</v>
      </c>
      <c r="F65" s="17">
        <f>P7</f>
        <v>395</v>
      </c>
      <c r="G65" s="27">
        <f>P13</f>
        <v>46891</v>
      </c>
      <c r="H65" s="17">
        <f>SUM(F65:G65)</f>
        <v>47286</v>
      </c>
      <c r="I65" s="17">
        <f>P8</f>
        <v>1304</v>
      </c>
      <c r="J65" s="27">
        <f>P14</f>
        <v>55692</v>
      </c>
      <c r="K65" s="17">
        <f>SUM(I65:J65)</f>
        <v>56996</v>
      </c>
      <c r="L65" s="17">
        <f>H65+E65+K65</f>
        <v>256615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B70:I71"/>
    <mergeCell ref="B51:C51"/>
    <mergeCell ref="C54:E54"/>
    <mergeCell ref="F54:H54"/>
    <mergeCell ref="I54:K54"/>
    <mergeCell ref="B68:I68"/>
    <mergeCell ref="B69:I69"/>
    <mergeCell ref="B41:C41"/>
    <mergeCell ref="B44:C44"/>
    <mergeCell ref="D44:F44"/>
    <mergeCell ref="G44:I44"/>
    <mergeCell ref="J44:L44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</mergeCell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/>
  </sheetPr>
  <dimension ref="A1:Q71"/>
  <sheetViews>
    <sheetView zoomScale="70" zoomScaleNormal="70" workbookViewId="0">
      <selection activeCell="O33" sqref="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İşletmecisi",'[7]TABLO-1'!K4:K32873,"=Bildirimsiz",'[7]TABLO-1'!I4:I32873,"=Uzun",'[7]TABLO-1'!D4:D32873,"=MALKARA")/P6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İşletmecisi",'[7]TABLO-1'!K4:K32873,"=Bildirimsiz",'[7]TABLO-1'!I4:I32873,"=Uzun",'[7]TABLO-1'!D4:D32873,"=MALKARA")/P12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İşletmecisi",'[7]TABLO-1'!K4:K32873,"=Bildirimsiz",'[7]TABLO-1'!I4:I32873,"=Uzun",'[7]TABLO-1'!D4:D32873,"=MALKARA")/P7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İşletmecisi",'[7]TABLO-1'!K4:K32873,"=Bildirimsiz",'[7]TABLO-1'!I4:I32873,"=Uzun",'[7]TABLO-1'!D4:D32873,"=MALKARA")/P13</f>
        <v>#DIV/0!</v>
      </c>
      <c r="I6" s="10" t="str">
        <f>IFERROR((((G6*$P$7)+(H6*$P$13))/$P$20),"0,00")</f>
        <v>0,00</v>
      </c>
      <c r="J6" s="10">
        <f>SUMIFS('[7]TABLO-1'!Y4:Y32873,'[7]TABLO-1'!H4:H32873,"=İletim",'[7]TABLO-1'!J4:J32873,"=Şebeke İşletmecisi",'[7]TABLO-1'!K4:K32873,"=Bildirimsiz",'[7]TABLO-1'!I4:I32873,"=Uzun",'[7]TABLO-1'!D4:D32873,"=MALKARA")/P8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İşletmecisi",'[7]TABLO-1'!K4:K32873,"=Bildirimsiz",'[7]TABLO-1'!I4:I32873,"=Uzun",'[7]TABLO-1'!D4:D32873,"=MALKARA")/P14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144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Sebep",'[7]TABLO-1'!K4:K32873,"=Bildirimsiz",'[7]TABLO-1'!I4:I32873,"=Uzun",'[7]TABLO-1'!D4:D32873,"=MALKARA")/P6</f>
        <v>0</v>
      </c>
      <c r="E7" s="10">
        <f>SUMIFS('[7]TABLO-1'!V4:V32873,'[7]TABLO-1'!H4:H32873,"=İletim",'[7]TABLO-1'!J4:J32873,"=Mücbir Sebep",'[7]TABLO-1'!K4:K32873,"=Bildirimsiz",'[7]TABLO-1'!I4:I32873,"=Uzun",'[7]TABLO-1'!D4:D32873,"=MALKARA")/P12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Sebep",'[7]TABLO-1'!K4:K32873,"=Bildirimsiz",'[7]TABLO-1'!I4:I32873,"=Uzun",'[7]TABLO-1'!D4:D32873,"=MALKARA")/P7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Sebep",'[7]TABLO-1'!K4:K32873,"=Bildirimsiz",'[7]TABLO-1'!I4:I32873,"=Uzun",'[7]TABLO-1'!D4:D32873,"=MALKARA")/P13</f>
        <v>#DIV/0!</v>
      </c>
      <c r="I7" s="10" t="str">
        <f t="shared" ref="I7:I15" si="1">IFERROR((((G7*$P$7)+(H7*$P$13))/$P$20),"0,00")</f>
        <v>0,00</v>
      </c>
      <c r="J7" s="10">
        <f>SUMIFS('[7]TABLO-1'!Y4:Y32873,'[7]TABLO-1'!H4:H32873,"=İletim",'[7]TABLO-1'!J4:J32873,"=Mücbir Sebep",'[7]TABLO-1'!K4:K32873,"=Bildirimsiz",'[7]TABLO-1'!I4:I32873,"=Uzun",'[7]TABLO-1'!D4:D32873,"=MALKARA")/P8</f>
        <v>0</v>
      </c>
      <c r="K7" s="10">
        <f>SUMIFS('[7]TABLO-1'!Z4:Z32873,'[7]TABLO-1'!H4:H32873,"=İletim",'[7]TABLO-1'!J4:J32873,"=Mücbir Sebep",'[7]TABLO-1'!K4:K32873,"=Bildirimsiz",'[7]TABLO-1'!I4:I32873,"=Uzun",'[7]TABLO-1'!D4:D32873,"=MALKARA")/P14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İşletmecisi",'[7]TABLO-1'!K4:K32873,"=Bildirimsiz",'[7]TABLO-1'!I4:I32873,"=Uzun",'[7]TABLO-1'!D4:D32873,"=MALKARA")/P6</f>
        <v>6.0554398156091338</v>
      </c>
      <c r="E8" s="10">
        <f>SUMIFS('[7]TABLO-1'!V4:V32873,'[7]TABLO-1'!H4:H32873,"=Dağıtım-OG",'[7]TABLO-1'!J4:J32873,"=Şebeke İşletmecisi",'[7]TABLO-1'!K4:K32873,"=Bildirimsiz",'[7]TABLO-1'!I4:I32873,"=Uzun",'[7]TABLO-1'!D4:D32873,"=MALKARA")/P12</f>
        <v>4.4951992788649635</v>
      </c>
      <c r="F8" s="10">
        <f t="shared" si="0"/>
        <v>4.5037106489938097</v>
      </c>
      <c r="G8" s="10" t="e">
        <f>SUMIFS('[7]TABLO-1'!W4:W32873,'[7]TABLO-1'!H4:H32873,"=Dağıtım-OG",'[7]TABLO-1'!J4:J32873,"=Şebeke İşletmecisi",'[7]TABLO-1'!K4:K32873,"=Bildirimsiz",'[7]TABLO-1'!I4:I32873,"=Uzun",'[7]TABLO-1'!D4:D32873,"=MALKARA")/P7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İşletmecisi",'[7]TABLO-1'!K4:K32873,"=Bildirimsiz",'[7]TABLO-1'!I4:I32873,"=Uzun",'[7]TABLO-1'!D4:D32873,"=MALKARA")/P13</f>
        <v>#DIV/0!</v>
      </c>
      <c r="I8" s="10" t="str">
        <f t="shared" si="1"/>
        <v>0,00</v>
      </c>
      <c r="J8" s="10">
        <f>SUMIFS('[7]TABLO-1'!Y4:Y32873,'[7]TABLO-1'!H4:H32873,"=Dağıtım-OG",'[7]TABLO-1'!J4:J32873,"=Şebeke İşletmecisi",'[7]TABLO-1'!K4:K32873,"=Bildirimsiz",'[7]TABLO-1'!I4:I32873,"=Uzun",'[7]TABLO-1'!D4:D32873,"=MALKARA")/P8</f>
        <v>7.6209480122774158</v>
      </c>
      <c r="K8" s="10">
        <f>SUMIFS('[7]TABLO-1'!Z4:Z32873,'[7]TABLO-1'!H4:H32873,"=Dağıtım-OG",'[7]TABLO-1'!J4:J32873,"=Şebeke İşletmecisi",'[7]TABLO-1'!K4:K32873,"=Bildirimsiz",'[7]TABLO-1'!I4:I32873,"=Uzun",'[7]TABLO-1'!D4:D32873,"=MALKARA")/P14</f>
        <v>9.596368009966449</v>
      </c>
      <c r="L8" s="10">
        <f t="shared" si="2"/>
        <v>9.5775971286354302</v>
      </c>
      <c r="M8" s="11">
        <f t="shared" si="3"/>
        <v>6.0406957500809817</v>
      </c>
      <c r="O8" s="20" t="s">
        <v>36</v>
      </c>
      <c r="P8" s="53">
        <v>109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SUMIFS('[7]TABLO-1'!U4:U32873,'[7]TABLO-1'!H4:H32873,"=Dağıtım-OG",'[7]TABLO-1'!J4:J32873,"=Dışsal",'[7]TABLO-1'!K4:K32873,"=Bildirimsiz",'[7]TABLO-1'!I4:I32873,"=Uzun",'[7]TABLO-1'!D4:D32873,"=MALKARA")/P6</f>
        <v>0</v>
      </c>
      <c r="E9" s="10">
        <f>SUMIFS('[7]TABLO-1'!V4:V32873,'[7]TABLO-1'!H4:H32873,"=Dağıtım-OG",'[7]TABLO-1'!J4:J32873,"=Dışsal",'[7]TABLO-1'!K4:K32873,"=Bildirimsiz",'[7]TABLO-1'!I4:I32873,"=Uzun",'[7]TABLO-1'!D4:D32873,"=MALKARA")/P12</f>
        <v>0</v>
      </c>
      <c r="F9" s="10">
        <f t="shared" si="0"/>
        <v>0</v>
      </c>
      <c r="G9" s="10" t="e">
        <f>SUMIFS('[7]TABLO-1'!W4:W32873,'[7]TABLO-1'!H4:H32873,"=Dağıtım-OG",'[7]TABLO-1'!J4:J32873,"=Dışsal",'[7]TABLO-1'!K4:K32873,"=Bildirimsiz",'[7]TABLO-1'!I4:I32873,"=Uzun",'[7]TABLO-1'!D4:D32873,"=MALKARA")/P7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SUMIFS('[7]TABLO-1'!X4:X32873,'[7]TABLO-1'!H4:H32873,"=Dağıtım-OG",'[7]TABLO-1'!J4:J32873,"=Dışsal",'[7]TABLO-1'!K4:K32873,"=Bildirimsiz",'[7]TABLO-1'!I4:I32873,"=Uzun",'[7]TABLO-1'!D4:D32873,"=MALKARA")/P13</f>
        <v>#DIV/0!</v>
      </c>
      <c r="I9" s="10" t="str">
        <f t="shared" si="1"/>
        <v>0,00</v>
      </c>
      <c r="J9" s="10">
        <f>SUMIFS('[7]TABLO-1'!Y4:Y32873,'[7]TABLO-1'!H4:H32873,"=Dağıtım-OG",'[7]TABLO-1'!J4:J32873,"=Dışsal",'[7]TABLO-1'!K4:K32873,"=Bildirimsiz",'[7]TABLO-1'!I4:I32873,"=Uzun",'[7]TABLO-1'!D4:D32873,"=MALKARA")/P8</f>
        <v>0</v>
      </c>
      <c r="K9" s="10">
        <f>SUMIFS('[7]TABLO-1'!Z4:Z32873,'[7]TABLO-1'!H4:H32873,"=Dağıtım-OG",'[7]TABLO-1'!J4:J32873,"=Dışsal",'[7]TABLO-1'!K4:K32873,"=Bildirimsiz",'[7]TABLO-1'!I4:I32873,"=Uzun",'[7]TABLO-1'!D4:D32873,"=MALKARA")/P14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253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Sebep",'[7]TABLO-1'!K4:K32873,"=Bildirimsiz",'[7]TABLO-1'!I4:I32873,"=Uzun",'[7]TABLO-1'!D4:D32873,"=MALKARA")/P6</f>
        <v>0</v>
      </c>
      <c r="E10" s="10">
        <f>SUMIFS('[7]TABLO-1'!V4:V32873,'[7]TABLO-1'!H4:H32873,"=Dağıtım-OG",'[7]TABLO-1'!J4:J32873,"=Mücbir Sebep",'[7]TABLO-1'!K4:K32873,"=Bildirimsiz",'[7]TABLO-1'!I4:I32873,"=Uzun",'[7]TABLO-1'!D4:D32873,"=MALKARA")/P12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Sebep",'[7]TABLO-1'!K4:K32873,"=Bildirimsiz",'[7]TABLO-1'!I4:I32873,"=Uzun",'[7]TABLO-1'!D4:D32873,"=MALKARA")/P7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Sebep",'[7]TABLO-1'!K4:K32873,"=Bildirimsiz",'[7]TABLO-1'!I4:I32873,"=Uzun",'[7]TABLO-1'!D4:D32873,"=MALKARA")/P13</f>
        <v>#DIV/0!</v>
      </c>
      <c r="I10" s="10" t="str">
        <f t="shared" si="1"/>
        <v>0,00</v>
      </c>
      <c r="J10" s="10">
        <f>SUMIFS('[7]TABLO-1'!Y4:Y32873,'[7]TABLO-1'!H4:H32873,"=Dağıtım-OG",'[7]TABLO-1'!J4:J32873,"=Mücbir Sebep",'[7]TABLO-1'!K4:K32873,"=Bildirimsiz",'[7]TABLO-1'!I4:I32873,"=Uzun",'[7]TABLO-1'!D4:D32873,"=MALKARA")/P8</f>
        <v>0</v>
      </c>
      <c r="K10" s="10">
        <f>SUMIFS('[7]TABLO-1'!Z4:Z32873,'[7]TABLO-1'!H4:H32873,"=Dağıtım-OG",'[7]TABLO-1'!J4:J32873,"=Mücbir Sebep",'[7]TABLO-1'!K4:K32873,"=Bildirimsiz",'[7]TABLO-1'!I4:I32873,"=Uzun",'[7]TABLO-1'!D4:D32873,"=MALKARA")/P14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SUMIFS('[7]TABLO-1'!U4:U32873,'[7]TABLO-1'!H4:H32873,"=Dağıtım-OG",'[7]TABLO-1'!J4:J32873,"=Güvenlik",'[7]TABLO-1'!K4:K32873,"=Bildirimsiz",'[7]TABLO-1'!I4:I32873,"=Uzun",'[7]TABLO-1'!D4:D32873,"=MALKARA")/P6</f>
        <v>0</v>
      </c>
      <c r="E11" s="10">
        <f>SUMIFS('[7]TABLO-1'!V4:V32873,'[7]TABLO-1'!H4:H32873,"=Dağıtım-OG",'[7]TABLO-1'!J4:J32873,"=Güvenlik",'[7]TABLO-1'!K4:K32873,"=Bildirimsiz",'[7]TABLO-1'!I4:I32873,"=Uzun",'[7]TABLO-1'!D4:D32873,"=MALKARA")/P12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SUMIFS('[7]TABLO-1'!W4:W32873,'[7]TABLO-1'!H4:H32873,"=Dağıtım-OG",'[7]TABLO-1'!J4:J32873,"=Güvenlik",'[7]TABLO-1'!K4:K32873,"=Bildirimsiz",'[7]TABLO-1'!I4:I32873,"=Uzun",'[7]TABLO-1'!D4:D32873,"=MALKARA")/P7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SUMIFS('[7]TABLO-1'!X4:X32873,'[7]TABLO-1'!H4:H32873,"=Dağıtım-OG",'[7]TABLO-1'!J4:J32873,"=Güvenlik",'[7]TABLO-1'!K4:K32873,"=Bildirimsiz",'[7]TABLO-1'!I4:I32873,"=Uzun",'[7]TABLO-1'!D4:D32873,"=MALKARA")/P13</f>
        <v>#DIV/0!</v>
      </c>
      <c r="I11" s="10" t="str">
        <f t="shared" si="1"/>
        <v>0,00</v>
      </c>
      <c r="J11" s="10">
        <f>SUMIFS('[7]TABLO-1'!Y4:Y32873,'[7]TABLO-1'!H4:H32873,"=Dağıtım-OG",'[7]TABLO-1'!J4:J32873,"=Güvenlik",'[7]TABLO-1'!K4:K32873,"=Bildirimsiz",'[7]TABLO-1'!I4:I32873,"=Uzun",'[7]TABLO-1'!D4:D32873,"=MALKARA")/P8</f>
        <v>0</v>
      </c>
      <c r="K11" s="10">
        <f>SUMIFS('[7]TABLO-1'!Z4:Z32873,'[7]TABLO-1'!H4:H32873,"=Dağıtım-OG",'[7]TABLO-1'!J4:J32873,"=Güvenlik",'[7]TABLO-1'!K4:K32873,"=Bildirimsiz",'[7]TABLO-1'!I4:I32873,"=Uzun",'[7]TABLO-1'!D4:D32873,"=MALKARA")/P14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İşletmecisi",'[7]TABLO-1'!K4:K32873,"=Bildirimsiz",'[7]TABLO-1'!I4:I32873,"=Uzun",'[7]TABLO-1'!D4:D32873,"=MALKARA")/P6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işletmecisi",'[7]TABLO-1'!K4:K32873,"=Bildirimsiz",'[7]TABLO-1'!I4:I32873,"=Uzun",'[7]TABLO-1'!D4:D32873,"=MALKARA")/P12</f>
        <v>2.5060520067188108</v>
      </c>
      <c r="F12" s="10">
        <f t="shared" si="0"/>
        <v>2.4923810786221519</v>
      </c>
      <c r="G12" s="12" t="e">
        <f>SUMIFS('[7]TABLO-1'!W4:W32873,'[7]TABLO-1'!H4:H32873,"=Dağıtım-AG",'[7]TABLO-1'!J4:J32873,"=Şebeke İşletmecisi",'[7]TABLO-1'!K4:K32873,"=Bildirimsiz",'[7]TABLO-1'!I4:I32873,"=Uzun",'[7]TABLO-1'!D4:D32873,"=MALKARA")/P7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İşletmecisi",'[7]TABLO-1'!K4:K32873,"=Bildirimsiz",'[7]TABLO-1'!I4:I32873,"=Uzun",'[7]TABLO-1'!D4:D32873,"=MALKARA")/P13</f>
        <v>#DIV/0!</v>
      </c>
      <c r="I12" s="10" t="str">
        <f t="shared" si="1"/>
        <v>0,00</v>
      </c>
      <c r="J12" s="12">
        <f>SUMIFS('[7]TABLO-1'!Y4:Y32873,'[7]TABLO-1'!H4:H32873,"=Dağıtım-AG",'[7]TABLO-1'!J4:J32873,"=Şebeke İşletmecisi",'[7]TABLO-1'!K4:K32873,"=Bildirimsiz",'[7]TABLO-1'!I4:I32873,"=Uzun",'[7]TABLO-1'!D4:D32873,"=MALKARA")/P8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İşletmecisi",'[7]TABLO-1'!K4:K32873,"=Bildirimsiz",'[7]TABLO-1'!I4:I32873,"=Uzun",'[7]TABLO-1'!D4:D32873,"=MALKARA")/P14</f>
        <v>2.5002302998754806</v>
      </c>
      <c r="L12" s="10">
        <f t="shared" si="2"/>
        <v>2.4764725540218997</v>
      </c>
      <c r="M12" s="11">
        <f t="shared" si="3"/>
        <v>2.4875620576627799</v>
      </c>
      <c r="O12" s="6" t="s">
        <v>33</v>
      </c>
      <c r="P12" s="42">
        <v>26253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SUMIFS('[7]TABLO-1'!U4:U32873,'[7]TABLO-1'!H4:H32873,"=Dağıtım-AG",'[7]TABLO-1'!J4:J32873,"=Dışsal",'[7]TABLO-1'!K4:K32873,"=Bildirimsiz",'[7]TABLO-1'!I4:I32873,"=Uzun",'[7]TABLO-1'!D4:D32873,"=MALKARA")/P6</f>
        <v>0</v>
      </c>
      <c r="E13" s="10">
        <f>SUMIFS('[7]TABLO-1'!V4:V32873,'[7]TABLO-1'!H4:H32873,"=Dağıtım-AG",'[7]TABLO-1'!J4:J32873,"=Dışsal",'[7]TABLO-1'!K4:K32873,"=Bildirimsiz",'[7]TABLO-1'!I4:I32873,"=Uzun",'[7]TABLO-1'!D4:D32873,"=MALKARA")/P12</f>
        <v>0</v>
      </c>
      <c r="F13" s="10">
        <f t="shared" si="0"/>
        <v>0</v>
      </c>
      <c r="G13" s="12" t="e">
        <f>SUMIFS('[7]TABLO-1'!W4:W32873,'[7]TABLO-1'!H4:H32873,"=Dağıtım-AG",'[7]TABLO-1'!J4:J32873,"=Dışsal",'[7]TABLO-1'!K4:K32873,"=Bildirimsiz",'[7]TABLO-1'!I4:I32873,"=Uzun",'[7]TABLO-1'!D4:D32873,"=MALKARA")/P7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SUMIFS('[7]TABLO-1'!X4:X32873,'[7]TABLO-1'!H4:H32873,"=Dağıtım-AG",'[7]TABLO-1'!J4:J32873,"=Dışsal",'[7]TABLO-1'!K4:K32873,"=Bildirimsiz",'[7]TABLO-1'!I4:I32873,"=Uzun",'[7]TABLO-1'!D4:D32873,"=MALKARA")/P13</f>
        <v>#DIV/0!</v>
      </c>
      <c r="I13" s="10" t="str">
        <f t="shared" si="1"/>
        <v>0,00</v>
      </c>
      <c r="J13" s="12">
        <f>SUMIFS('[7]TABLO-1'!Y4:Y32873,'[7]TABLO-1'!H4:H32873,"=Dağıtım-AG",'[7]TABLO-1'!J4:J32873,"=Dışsal",'[7]TABLO-1'!K4:K32873,"=Bildirimsiz",'[7]TABLO-1'!I4:I32873,"=Uzun",'[7]TABLO-1'!D4:D32873,"=MALKARA")/P8</f>
        <v>0</v>
      </c>
      <c r="K13" s="10">
        <f>SUMIFS('[7]TABLO-1'!Z4:Z32873,'[7]TABLO-1'!H4:H32873,"=Dağıtım-AG",'[7]TABLO-1'!J4:J32873,"=Dışsal",'[7]TABLO-1'!K4:K32873,"=Bildirimsiz",'[7]TABLO-1'!I4:I32873,"=Uzun",'[7]TABLO-1'!D4:D32873,"=MALKARA")/P14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Sebep",'[7]TABLO-1'!K4:K32873,"=Bildirimsiz",'[7]TABLO-1'!I4:I32873,"=Uzun",'[7]TABLO-1'!D4:D32873,"=MALKARA")/P6</f>
        <v>0</v>
      </c>
      <c r="E14" s="10">
        <f>SUMIFS('[7]TABLO-1'!V4:V32873,'[7]TABLO-1'!H4:H32873,"=Dağıtım-AG",'[7]TABLO-1'!J4:J32873,"=Mücbir Sebep",'[7]TABLO-1'!K4:K32873,"=Bildirimsiz",'[7]TABLO-1'!I4:I32873,"=Uzun",'[7]TABLO-1'!D4:D32873,"=MALKARA")/P12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Sebep",'[7]TABLO-1'!K4:K32873,"=Bildirimsiz",'[7]TABLO-1'!I4:I32873,"=Uzun",'[7]TABLO-1'!D4:D32873,"=MALKARA")/P7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Sebep",'[7]TABLO-1'!K4:K32873,"=Bildirimsiz",'[7]TABLO-1'!I4:I32873,"=Uzun",'[7]TABLO-1'!D4:D32873,"=MALKARA")/P13</f>
        <v>#DIV/0!</v>
      </c>
      <c r="I14" s="10" t="str">
        <f t="shared" si="1"/>
        <v>0,00</v>
      </c>
      <c r="J14" s="12">
        <f>SUMIFS('[7]TABLO-1'!Y4:Y32873,'[7]TABLO-1'!H4:H32873,"=Dağıtım-AG",'[7]TABLO-1'!J4:J32873,"=Mücbir Sebep",'[7]TABLO-1'!K4:K32873,"=Bildirimsiz",'[7]TABLO-1'!I4:I32873,"=Uzun",'[7]TABLO-1'!D4:D32873,"=MALKARA")/P8</f>
        <v>0</v>
      </c>
      <c r="K14" s="10">
        <f>SUMIFS('[7]TABLO-1'!Z4:Z32873,'[7]TABLO-1'!H4:H32873,"=Dağıtım-AG",'[7]TABLO-1'!J4:J32873,"=Mücbir Sebep",'[7]TABLO-1'!K4:K32873,"=Bildirimsiz",'[7]TABLO-1'!I4:I32873,"=Uzun",'[7]TABLO-1'!D4:D32873,"=MALKARA")/P14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11362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SUMIFS('[7]TABLO-1'!U4:U32873,'[7]TABLO-1'!H4:H32873,"=Dağıtım-AG",'[7]TABLO-1'!J4:J32873,"=Güvenlik",'[7]TABLO-1'!K4:K32873,"=Bildirimsiz",'[7]TABLO-1'!I4:I32873,"=Uzun",'[7]TABLO-1'!D4:D32873,"=MALKARA")/P6</f>
        <v>0</v>
      </c>
      <c r="E15" s="10">
        <f>SUMIFS('[7]TABLO-1'!V4:V32873,'[7]TABLO-1'!H4:H32873,"=Dağıtım-AG",'[7]TABLO-1'!J4:J32873,"=Güvenlik",'[7]TABLO-1'!K4:K32873,"=Bildirimsiz",'[7]TABLO-1'!I4:I32873,"=Uzun",'[7]TABLO-1'!D4:D32873,"=MALKARA")/P12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SUMIFS('[7]TABLO-1'!W4:W32873,'[7]TABLO-1'!H4:H32873,"=Dağıtım-AG",'[7]TABLO-1'!J4:J32873,"=Güvenlik",'[7]TABLO-1'!K4:K32873,"=Bildirimsiz",'[7]TABLO-1'!I4:I32873,"=Uzun",'[7]TABLO-1'!D4:D32873,"=MALKARA")/P7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SUMIFS('[7]TABLO-1'!X4:X32873,'[7]TABLO-1'!H4:H32873,"=Dağıtım-AG",'[7]TABLO-1'!J4:J32873,"=Güvenlik",'[7]TABLO-1'!K4:K32873,"=Bildirimsiz",'[7]TABLO-1'!I4:I32873,"=Uzun",'[7]TABLO-1'!D4:D32873,"=MALKARA")/P13</f>
        <v>#DIV/0!</v>
      </c>
      <c r="I15" s="10" t="str">
        <f t="shared" si="1"/>
        <v>0,00</v>
      </c>
      <c r="J15" s="12">
        <f>SUMIFS('[7]TABLO-1'!Y4:Y32873,'[7]TABLO-1'!H4:H32873,"=Dağıtım-AG",'[7]TABLO-1'!J4:J32873,"=Güvenlik",'[7]TABLO-1'!K4:K32873,"=Bildirimsiz",'[7]TABLO-1'!I4:I32873,"=Uzun",'[7]TABLO-1'!D4:D32873,"=MALKARA")/P8</f>
        <v>0</v>
      </c>
      <c r="K15" s="10">
        <f>SUMIFS('[7]TABLO-1'!Z4:Z32873,'[7]TABLO-1'!H4:H32873,"=Dağıtım-AG",'[7]TABLO-1'!J4:J32873,"=Güvenlik",'[7]TABLO-1'!K4:K32873,"=Bildirimsiz",'[7]TABLO-1'!I4:I32873,"=Uzun",'[7]TABLO-1'!D4:D32873,"=MALKARA")/P14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37615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6.0554398156091338</v>
      </c>
      <c r="E16" s="10">
        <f t="shared" si="4"/>
        <v>7.0012512855837743</v>
      </c>
      <c r="F16" s="10">
        <f t="shared" si="4"/>
        <v>6.996091727615962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>
        <f>SUM(J6:J15)</f>
        <v>7.6209480122774158</v>
      </c>
      <c r="K16" s="10">
        <f>SUM(K6:K15)</f>
        <v>12.09659830984193</v>
      </c>
      <c r="L16" s="10">
        <f>SUM(L6:L15)</f>
        <v>12.05406968265733</v>
      </c>
      <c r="M16" s="11">
        <f t="shared" si="4"/>
        <v>8.5282578077437616</v>
      </c>
    </row>
    <row r="17" spans="2:16" ht="15" customHeight="1" x14ac:dyDescent="0.25">
      <c r="B17" s="29"/>
      <c r="O17" s="50" t="s">
        <v>37</v>
      </c>
      <c r="P17" s="47">
        <f>P6+P12</f>
        <v>26397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İşletmecisi",'[7]TABLO-1'!K4:K32873,"=Bildirimli",'[7]TABLO-1'!I4:I32873,"=Uzun",'[7]TABLO-1'!D4:D32873,"=MALKARA")/P6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İşletmecisi",'[7]TABLO-1'!K4:K32873,"=Bildirimli",'[7]TABLO-1'!I4:I32873,"=Uzun",'[7]TABLO-1'!D4:D32873,"=MALKARA")/P12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İşletmecisi",'[7]TABLO-1'!K4:K32873,"=Bildirimli",'[7]TABLO-1'!I4:I32873,"=Uzun",'[7]TABLO-1'!D4:D32873,"=MALKARA")/P7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İşletmecisi",'[7]TABLO-1'!K4:K32873,"=Bildirimli",'[7]TABLO-1'!I4:I32873,"=Uzun",'[7]TABLO-1'!D4:D32873,"=MALKARA")/P13</f>
        <v>#DIV/0!</v>
      </c>
      <c r="I21" s="10" t="str">
        <f>IFERROR((((G21*$P$7)+(H21*$P$13))/$P$20),"0,00")</f>
        <v>0,00</v>
      </c>
      <c r="J21" s="10">
        <f>SUMIFS('[7]TABLO-1'!Y4:Y32873,'[7]TABLO-1'!H4:H32873,"=İletim",'[7]TABLO-1'!J4:J32873,"=Şebeke İşletmecisi",'[7]TABLO-1'!K4:K32873,"=Bildirimli",'[7]TABLO-1'!I4:I32873,"=Uzun",'[7]TABLO-1'!D4:D32873,"=MALKARA")/P8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İşletmecisi",'[7]TABLO-1'!K4:K32873,"=Bildirimli",'[7]TABLO-1'!I4:I32873,"=Uzun",'[7]TABLO-1'!D4:D32873,"=MALKARA")/P14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İşletmecisi",'[7]TABLO-1'!K4:K32873,"=Bildirimli",'[7]TABLO-1'!I4:I32873,"=Uzun",'[7]TABLO-1'!D4:D32873,"=MALKARA")/P6</f>
        <v>23.53946759198152</v>
      </c>
      <c r="E22" s="10">
        <f>SUMIFS('[7]TABLO-1'!V4:V32873,'[7]TABLO-1'!H4:H32873,"=Dağıtım-OG",'[7]TABLO-1'!J4:J32873,"=Şebeke İşletmecisi",'[7]TABLO-1'!K4:K32873,"=Bildirimli",'[7]TABLO-1'!I4:I32873,"=Uzun",'[7]TABLO-1'!D4:D32873,"=MALKARA")/P12</f>
        <v>13.470183090202417</v>
      </c>
      <c r="F22" s="10">
        <f t="shared" ref="F22:F25" si="5">IFERROR((((D22*$P$6)+(E22*$P$12))/$P$17),"0,00")</f>
        <v>13.525112702213486</v>
      </c>
      <c r="G22" s="10" t="e">
        <f>SUMIFS('[7]TABLO-1'!W4:W32873,'[7]TABLO-1'!H4:H32873,"=Dağıtım-OG",'[7]TABLO-1'!J4:J32873,"=Şebeke İşletmecisi",'[7]TABLO-1'!K4:K32873,"=Bildirimli",'[7]TABLO-1'!I4:I32873,"=Uzun",'[7]TABLO-1'!D4:D32873,"=MALKARA")/P7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İşletmecisi",'[7]TABLO-1'!K4:K32873,"=Bildirimli",'[7]TABLO-1'!I4:I32873,"=Uzun",'[7]TABLO-1'!D4:D32873,"=MALKARA")/P13</f>
        <v>#DIV/0!</v>
      </c>
      <c r="I22" s="10" t="str">
        <f t="shared" ref="I22:I25" si="6">IFERROR((((G22*$P$7)+(H22*$P$13))/$P$20),"0,00")</f>
        <v>0,00</v>
      </c>
      <c r="J22" s="10">
        <f>SUMIFS('[7]TABLO-1'!Y4:Y32873,'[7]TABLO-1'!H4:H32873,"=Dağıtım-OG",'[7]TABLO-1'!J4:J32873,"=Şebeke İşletmecisi",'[7]TABLO-1'!K4:K32873,"=Bildirimli",'[7]TABLO-1'!I4:I32873,"=Uzun",'[7]TABLO-1'!D4:D32873,"=MALKARA")/P8</f>
        <v>45.202905197089557</v>
      </c>
      <c r="K22" s="10">
        <f>SUMIFS('[7]TABLO-1'!Z4:Z32873,'[7]TABLO-1'!H4:H32873,"=Dağıtım-OG",'[7]TABLO-1'!J4:J32873,"=Şebeke İşletmecisi",'[7]TABLO-1'!K4:K32873,"=Bildirimli",'[7]TABLO-1'!I4:I32873,"=Uzun",'[7]TABLO-1'!D4:D32873,"=MALKARA")/P14</f>
        <v>90.618061663614711</v>
      </c>
      <c r="L22" s="10">
        <f t="shared" ref="L22:L25" si="7">IFERROR((((J22*$P$8)+(K22*$P$14))/$P$23),"0,00")</f>
        <v>90.186516719420553</v>
      </c>
      <c r="M22" s="11">
        <f t="shared" ref="M22:M25" si="8">IFERROR((((F22*$P$17)+(I22*$P$20)+(L22*$P$23))/$P$26),"0,00")</f>
        <v>36.74743670879905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SUMIFS('[7]TABLO-1'!U4:U32873,'[7]TABLO-1'!H4:H32873,"=Dağıtım-OG",'[7]TABLO-1'!J4:J32873,"=Güvenlik",'[7]TABLO-1'!K4:K32873,"=Bildirimli",'[7]TABLO-1'!I4:I32873,"=Uzun",'[7]TABLO-1'!D4:D32873,"=MALKARA")/P6</f>
        <v>0</v>
      </c>
      <c r="E23" s="10">
        <f>SUMIFS('[7]TABLO-1'!V4:V32873,'[7]TABLO-1'!H4:H32873,"=Dağıtım-OG",'[7]TABLO-1'!J4:J32873,"=Güvenlik",'[7]TABLO-1'!K4:K32873,"=Bildirimli",'[7]TABLO-1'!I4:I32873,"=Uzun",'[7]TABLO-1'!D4:D32873,"=MALKARA")/P12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SUMIFS('[7]TABLO-1'!W4:W32873,'[7]TABLO-1'!H4:H32873,"=Dağıtım-OG",'[7]TABLO-1'!J4:J32873,"=Güvenlik",'[7]TABLO-1'!K4:K32873,"=Bildirimli",'[7]TABLO-1'!I4:I32873,"=Uzun",'[7]TABLO-1'!D4:D32873,"=MALKARA")/P7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SUMIFS('[7]TABLO-1'!X4:X32873,'[7]TABLO-1'!H4:H32873,"=Dağıtım-OG",'[7]TABLO-1'!J4:J32873,"=Güvenlik",'[7]TABLO-1'!K4:K32873,"=Bildirimli",'[7]TABLO-1'!I4:I32873,"=Uzun",'[7]TABLO-1'!D4:D32873,"=MALKARA")/P13</f>
        <v>#DIV/0!</v>
      </c>
      <c r="I23" s="10" t="str">
        <f t="shared" si="6"/>
        <v>0,00</v>
      </c>
      <c r="J23" s="10">
        <f>SUMIFS('[7]TABLO-1'!Y4:Y32873,'[7]TABLO-1'!H4:H32873,"=Dağıtım-OG",'[7]TABLO-1'!J4:J32873,"=Güvenlik",'[7]TABLO-1'!K4:K32873,"=Bildirimli",'[7]TABLO-1'!I4:I32873,"=Uzun",'[7]TABLO-1'!D4:D32873,"=MALKARA")/P8</f>
        <v>0</v>
      </c>
      <c r="K23" s="10">
        <f>SUMIFS('[7]TABLO-1'!Z4:Z32873,'[7]TABLO-1'!H4:H32873,"=Dağıtım-OG",'[7]TABLO-1'!J4:J32873,"=Güvenlik",'[7]TABLO-1'!K4:K32873,"=Bildirimli",'[7]TABLO-1'!I4:I32873,"=Uzun",'[7]TABLO-1'!D4:D32873,"=MALKARA")/P14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11471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İşletmecisi",'[7]TABLO-1'!K4:K32873,"=Bildirimli",'[7]TABLO-1'!I4:I32873,"=Uzun",'[7]TABLO-1'!D4:D32873,"=MALKARA")/P6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İşletmecisi",'[7]TABLO-1'!K4:K32873,"=Bildirimli",'[7]TABLO-1'!I4:I32873,"=Uzun",'[7]TABLO-1'!D4:D32873,"=MALKARA")/P12</f>
        <v>0.42311989740876593</v>
      </c>
      <c r="F24" s="10">
        <f t="shared" si="5"/>
        <v>0.42081170840142185</v>
      </c>
      <c r="G24" s="12" t="e">
        <f>SUMIFS('[7]TABLO-1'!W4:W32873,'[7]TABLO-1'!H4:H32873,"=Dağıtım-AG",'[7]TABLO-1'!J4:J32873,"=Şebeke İşletmecisi",'[7]TABLO-1'!K4:K32873,"=Bildirimli",'[7]TABLO-1'!I4:I32873,"=Uzun",'[7]TABLO-1'!D4:D32873,"=MALKARA")/P7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İşletmecisi",'[7]TABLO-1'!K4:K32873,"=Bildirimli",'[7]TABLO-1'!I4:I32873,"=Uzun",'[7]TABLO-1'!D4:D32873,"=MALKARA")/P13</f>
        <v>#DIV/0!</v>
      </c>
      <c r="I24" s="10" t="str">
        <f t="shared" si="6"/>
        <v>0,00</v>
      </c>
      <c r="J24" s="12">
        <f>SUMIFS('[7]TABLO-1'!Y4:Y32873,'[7]TABLO-1'!H4:H32873,"=Dağıtım-AG",'[7]TABLO-1'!J4:J32873,"=Şebeke İşletmecisi",'[7]TABLO-1'!K4:K32873,"=Bildirimli",'[7]TABLO-1'!I4:I32873,"=Uzun",'[7]TABLO-1'!D4:D32873,"=MALKARA")/P8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İşletmecisi",'[7]TABLO-1'!K4:K32873,"=Bildirimli",'[7]TABLO-1'!I4:I32873,"=Uzun",'[7]TABLO-1'!D4:D32873,"=MALKARA")/P14</f>
        <v>0</v>
      </c>
      <c r="L24" s="10">
        <f t="shared" si="7"/>
        <v>0</v>
      </c>
      <c r="M24" s="11">
        <f t="shared" si="8"/>
        <v>0.29333914298807257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SUMIFS('[7]TABLO-1'!U4:U32873,'[7]TABLO-1'!H4:H32873,"=Dağıtım-AG",'[7]TABLO-1'!J4:J32873,"=Güvenlik",'[7]TABLO-1'!K4:K32873,"=Bildirimli",'[7]TABLO-1'!I4:I32873,"=Uzun",'[7]TABLO-1'!D4:D32873,"=MALKARA")/P6</f>
        <v>0</v>
      </c>
      <c r="E25" s="10">
        <f>SUMIFS('[7]TABLO-1'!V4:V32873,'[7]TABLO-1'!H4:H32873,"=Dağıtım-AG",'[7]TABLO-1'!J4:J32873,"=Güvenlik",'[7]TABLO-1'!K4:K32873,"=Bildirimli",'[7]TABLO-1'!I4:I32873,"=Uzun",'[7]TABLO-1'!D4:D32873,"=MALKARA")/P12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SUMIFS('[7]TABLO-1'!W4:W32873,'[7]TABLO-1'!H4:H32873,"=Dağıtım-AG",'[7]TABLO-1'!J4:J32873,"=Güvenlik",'[7]TABLO-1'!K4:K32873,"=Bildirimli",'[7]TABLO-1'!I4:I32873,"=Uzun",'[7]TABLO-1'!D4:D32873,"=MALKARA")/P7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SUMIFS('[7]TABLO-1'!X4:X32873,'[7]TABLO-1'!H4:H32873,"=Dağıtım-AG",'[7]TABLO-1'!J4:J32873,"=Güvenlik",'[7]TABLO-1'!K4:K32873,"=Bildirimli",'[7]TABLO-1'!I4:I32873,"=Uzun",'[7]TABLO-1'!D4:D32873,"=MALKARA")/P13</f>
        <v>#DIV/0!</v>
      </c>
      <c r="I25" s="10" t="str">
        <f t="shared" si="6"/>
        <v>0,00</v>
      </c>
      <c r="J25" s="12">
        <f>SUMIFS('[7]TABLO-1'!Y4:Y32873,'[7]TABLO-1'!H4:H32873,"=Dağıtım-AG",'[7]TABLO-1'!J4:J32873,"=Güvenlik",'[7]TABLO-1'!K4:K32873,"=Bildirimli",'[7]TABLO-1'!I4:I32873,"=Uzun",'[7]TABLO-1'!D4:D32873,"=MALKARA")/P8</f>
        <v>0</v>
      </c>
      <c r="K25" s="10">
        <f>SUMIFS('[7]TABLO-1'!Z4:Z32873,'[7]TABLO-1'!H4:H32873,"=Dağıtım-AG",'[7]TABLO-1'!J4:J32873,"=Güvenlik",'[7]TABLO-1'!K4:K32873,"=Bildirimli",'[7]TABLO-1'!I4:I32873,"=Uzun",'[7]TABLO-1'!D4:D32873,"=MALKARA")/P14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23.53946759198152</v>
      </c>
      <c r="E26" s="10">
        <f t="shared" ref="E26:M26" si="9">SUM(E21:E25)</f>
        <v>13.893302987611182</v>
      </c>
      <c r="F26" s="10">
        <f t="shared" si="9"/>
        <v>13.945924410614907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>
        <f t="shared" si="9"/>
        <v>45.202905197089557</v>
      </c>
      <c r="K26" s="10">
        <f t="shared" si="9"/>
        <v>90.618061663614711</v>
      </c>
      <c r="L26" s="10">
        <f t="shared" si="9"/>
        <v>90.186516719420553</v>
      </c>
      <c r="M26" s="11">
        <f t="shared" si="9"/>
        <v>37.040775851787124</v>
      </c>
      <c r="O26" s="43" t="s">
        <v>22</v>
      </c>
      <c r="P26" s="44">
        <f>P20+P17+P23</f>
        <v>37868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İşletmecisi",'[7]TABLO-1'!K4:K32873,"=Bildirimsiz",'[7]TABLO-1'!I4:I32873,"=Uzun",'[7]TABLO-1'!D4:D32873,"=MALKARA")/P6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İşletmecisi",'[7]TABLO-1'!K4:K32873,"=Bildirimsiz",'[7]TABLO-1'!I4:I32873,"=Uzun",'[7]TABLO-1'!D4:D32873,"=MALKARA")/P12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İşletmecisi",'[7]TABLO-1'!K4:K32873,"=Bildirimsiz",'[7]TABLO-1'!I4:I32873,"=Uzun",'[7]TABLO-1'!D4:D32873,"=MALKARA")/P7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İşletmecisi",'[7]TABLO-1'!K4:K32873,"=Bildirimsiz",'[7]TABLO-1'!I4:I32873,"=Uzun",'[7]TABLO-1'!D4:D32873,"=MALKARA")/P13</f>
        <v>#DIV/0!</v>
      </c>
      <c r="I31" s="10" t="str">
        <f>IFERROR((((G31*$P$7)+(H31*$P$13))/$P$20),"0,00")</f>
        <v>0,00</v>
      </c>
      <c r="J31" s="10">
        <f>SUMIFS('[7]TABLO-1'!S4:S32873,'[7]TABLO-1'!H4:H32873,"=İletim",'[7]TABLO-1'!J4:J32873,"=Şebeke İşletmecisi",'[7]TABLO-1'!K4:K32873,"=Bildirimsiz",'[7]TABLO-1'!I4:I32873,"=Uzun",'[7]TABLO-1'!D4:D32873,"=MALKARA")/P8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İşletmecisi",'[7]TABLO-1'!K4:K32873,"=bildirimsiz",'[7]TABLO-1'!I4:I32873,"=Uzun",'[7]TABLO-1'!D4:D32873,"=MALKARA")/P14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Sebep",'[7]TABLO-1'!K4:K32873,"=Bildirimsiz",'[7]TABLO-1'!I4:I32873,"=Uzun",'[7]TABLO-1'!D4:D32873,"=MALKARA")/P6</f>
        <v>0</v>
      </c>
      <c r="E32" s="10">
        <f>SUMIFS('[7]TABLO-1'!P4:P32873,'[7]TABLO-1'!H4:H32873,"=İletim",'[7]TABLO-1'!J4:J32873,"=Mücbir Sebep",'[7]TABLO-1'!K4:K32873,"=Bildirimsiz",'[7]TABLO-1'!I4:I32873,"=Uzun",'[7]TABLO-1'!D4:D32873,"=MALKARA")/P12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Sebep",'[7]TABLO-1'!K4:K32873,"=Bildirimsiz",'[7]TABLO-1'!I4:I32873,"=Uzun",'[7]TABLO-1'!D4:D32873,"=MALKARA")/P7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Sebep",'[7]TABLO-1'!K4:K32873,"=Bildirimsiz",'[7]TABLO-1'!I4:I32873,"=Uzun",'[7]TABLO-1'!D4:D32873,"=MALKARA")/P13</f>
        <v>#DIV/0!</v>
      </c>
      <c r="I32" s="10" t="str">
        <f t="shared" ref="I32:I40" si="11">IFERROR((((G32*$P$7)+(H32*$P$13))/$P$20),"0,00")</f>
        <v>0,00</v>
      </c>
      <c r="J32" s="10">
        <f>SUMIFS('[7]TABLO-1'!S4:S32873,'[7]TABLO-1'!H4:H32873,"=İletim",'[7]TABLO-1'!J4:J32873,"=Mücbir Sebep",'[7]TABLO-1'!K4:K32873,"=Bildirimsiz",'[7]TABLO-1'!I4:I32873,"=Uzun",'[7]TABLO-1'!D4:D32873,"=MALKARA")/P8</f>
        <v>0</v>
      </c>
      <c r="K32" s="10">
        <f>SUMIFS('[7]TABLO-1'!T4:T32873,'[7]TABLO-1'!H4:H32873,"=İletim",'[7]TABLO-1'!J4:J32873,"=Mücbir Sebep",'[7]TABLO-1'!K4:K32873,"=bildirimsiz",'[7]TABLO-1'!I4:I32873,"=Uzun",'[7]TABLO-1'!D4:D32873,"=MALKARA")/P14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İşletmecisi",'[7]TABLO-1'!K4:K32873,"=Bildirimsiz",'[7]TABLO-1'!I4:I32873,"=Uzun",'[7]TABLO-1'!D4:D32873,"=MALKARA")/P6</f>
        <v>0.3263888888888889</v>
      </c>
      <c r="E33" s="10">
        <f>SUMIFS('[7]TABLO-1'!P4:P32873,'[7]TABLO-1'!H4:H32873,"=Dağıtım-OG",'[7]TABLO-1'!J4:J32873,"=Şebeke İşletmecisi",'[7]TABLO-1'!K4:K32873,"=Bildirimsiz",'[7]TABLO-1'!I4:I32873,"=Uzun",'[7]TABLO-1'!D4:D32873,"=MALKARA")/P12</f>
        <v>0.13678436750085704</v>
      </c>
      <c r="F33" s="10">
        <f t="shared" si="10"/>
        <v>0.13781869151797552</v>
      </c>
      <c r="G33" s="10" t="e">
        <f>SUMIFS('[7]TABLO-1'!Q4:Q32873,'[7]TABLO-1'!H4:H32873,"=Dağıtım-OG",'[7]TABLO-1'!J4:J32873,"=Şebeke İşletmecisi",'[7]TABLO-1'!K4:K32873,"=Bildirimsiz",'[7]TABLO-1'!I4:I32873,"=Uzun",'[7]TABLO-1'!D4:D32873,"=MALKARA")/P7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İşletmecisi",'[7]TABLO-1'!K4:K32873,"=Bildirimsiz",'[7]TABLO-1'!I4:I32873,"=Uzun",'[7]TABLO-1'!D4:D32873,"=MALKARA")/P13</f>
        <v>#DIV/0!</v>
      </c>
      <c r="I33" s="10" t="str">
        <f t="shared" si="11"/>
        <v>0,00</v>
      </c>
      <c r="J33" s="10">
        <f>SUMIFS('[7]TABLO-1'!S4:S32873,'[7]TABLO-1'!H4:H32873,"=Dağıtım-OG",'[7]TABLO-1'!J4:J32873,"=Şebeke İşletmecisi",'[7]TABLO-1'!K4:K32873,"=Bildirimsiz",'[7]TABLO-1'!I4:I32873,"=Uzun",'[7]TABLO-1'!D4:D32873,"=MALKARA")/P8</f>
        <v>0.23853211009174313</v>
      </c>
      <c r="K33" s="10">
        <f>SUMIFS('[7]TABLO-1'!T4:T32873,'[7]TABLO-1'!H4:H32873,"=Dağıtım-OG",'[7]TABLO-1'!J4:J32873,"=Şebeke İşletmecisi",'[7]TABLO-1'!K4:K32873,"=bildirimsiz",'[7]TABLO-1'!I4:I32873,"=Uzun",'[7]TABLO-1'!D4:D32873,"=MALKARA")/P14</f>
        <v>0.2780320366132723</v>
      </c>
      <c r="L33" s="10">
        <f t="shared" si="12"/>
        <v>0.27765669950309474</v>
      </c>
      <c r="M33" s="11">
        <f t="shared" si="13"/>
        <v>0.1801785148410267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SUMIFS('[7]TABLO-1'!O4:O32873,'[7]TABLO-1'!H4:H32873,"=Dağıtım-OG",'[7]TABLO-1'!J4:J32873,"=Dışsal",'[7]TABLO-1'!K4:K32873,"=Bildirimsiz",'[7]TABLO-1'!I4:I32873,"=Uzun",'[7]TABLO-1'!D4:D32873,"=MALKARA")/P6</f>
        <v>0</v>
      </c>
      <c r="E34" s="10">
        <f>SUMIFS('[7]TABLO-1'!P4:P32873,'[7]TABLO-1'!H4:H32873,"=Dağıtım-OG",'[7]TABLO-1'!J4:J32873,"=Dışsal",'[7]TABLO-1'!K4:K32873,"=Bildirimsiz",'[7]TABLO-1'!I4:I32873,"=Uzun",'[7]TABLO-1'!D4:D32873,"=MALKARA")/P12</f>
        <v>0</v>
      </c>
      <c r="F34" s="10">
        <f t="shared" si="10"/>
        <v>0</v>
      </c>
      <c r="G34" s="10" t="e">
        <f>SUMIFS('[7]TABLO-1'!Q4:Q32873,'[7]TABLO-1'!H4:H32873,"=Dağıtım-OG",'[7]TABLO-1'!J4:J32873,"=Dışsal",'[7]TABLO-1'!K4:K32873,"=Bildirimsiz",'[7]TABLO-1'!I4:I32873,"=Uzun",'[7]TABLO-1'!D4:D32873,"=MALKARA")/P7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SUMIFS('[7]TABLO-1'!R4:R32873,'[7]TABLO-1'!H4:H32873,"=Dağıtım-OG",'[7]TABLO-1'!J4:J32873,"=Dışsal",'[7]TABLO-1'!K4:K32873,"=Bildirimsiz",'[7]TABLO-1'!I4:I32873,"=Uzun",'[7]TABLO-1'!D4:D32873,"=MALKARA")/P13</f>
        <v>#DIV/0!</v>
      </c>
      <c r="I34" s="10" t="str">
        <f t="shared" si="11"/>
        <v>0,00</v>
      </c>
      <c r="J34" s="10">
        <f>SUMIFS('[7]TABLO-1'!S4:S32873,'[7]TABLO-1'!H4:H32873,"=Dağıtım-OG",'[7]TABLO-1'!J4:J32873,"=Dışsal",'[7]TABLO-1'!K4:K32873,"=Bildirimsiz",'[7]TABLO-1'!I4:I32873,"=Uzun",'[7]TABLO-1'!D4:D32873,"=MALKARA")/P8</f>
        <v>0</v>
      </c>
      <c r="K34" s="10">
        <f>SUMIFS('[7]TABLO-1'!T4:T32873,'[7]TABLO-1'!H4:H32873,"=Dağıtım-OG",'[7]TABLO-1'!J4:J32873,"=Dışsal",'[7]TABLO-1'!K4:K32873,"=bildirimsiz",'[7]TABLO-1'!I4:I32873,"=Uzun",'[7]TABLO-1'!D4:D32873,"=MALKARA")/P14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Sebep",'[7]TABLO-1'!K4:K32873,"=Bildirimsiz",'[7]TABLO-1'!I4:I32873,"=Uzun",'[7]TABLO-1'!D4:D32873,"=MALKARA")/P6</f>
        <v>0</v>
      </c>
      <c r="E35" s="10">
        <f>SUMIFS('[7]TABLO-1'!P4:P32873,'[7]TABLO-1'!H4:H32873,"=Dağıtım-OG",'[7]TABLO-1'!J4:J32873,"=Mücbir Sebep",'[7]TABLO-1'!K4:K32873,"=Bildirimsiz",'[7]TABLO-1'!I4:I32873,"=Uzun",'[7]TABLO-1'!D4:D32873,"=MALKARA")/P12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Sebep",'[7]TABLO-1'!K4:K32873,"=Bildirimsiz",'[7]TABLO-1'!I4:I32873,"=Uzun",'[7]TABLO-1'!D4:D32873,"=MALKARA")/P7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Sebep",'[7]TABLO-1'!K4:K32873,"=Bildirimsiz",'[7]TABLO-1'!I4:I32873,"=Uzun",'[7]TABLO-1'!D4:D32873,"=MALKARA")/P13</f>
        <v>#DIV/0!</v>
      </c>
      <c r="I35" s="10" t="str">
        <f t="shared" si="11"/>
        <v>0,00</v>
      </c>
      <c r="J35" s="10">
        <f>SUMIFS('[7]TABLO-1'!S4:S32873,'[7]TABLO-1'!H4:H32873,"=Dağıtım-OG",'[7]TABLO-1'!J4:J32873,"=Mücbir Sebep",'[7]TABLO-1'!K4:K32873,"=Bildirimsiz",'[7]TABLO-1'!I4:I32873,"=Uzun",'[7]TABLO-1'!D4:D32873,"=MALKARA")/P8</f>
        <v>0</v>
      </c>
      <c r="K35" s="10">
        <f>SUMIFS('[7]TABLO-1'!T4:T32873,'[7]TABLO-1'!H4:H32873,"=Dağıtım-OG",'[7]TABLO-1'!J4:J32873,"=Mücbir Sebep",'[7]TABLO-1'!K4:K32873,"=bildirimsiz",'[7]TABLO-1'!I4:I32873,"=Uzun",'[7]TABLO-1'!D4:D32873,"=MALKARA")/P14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SUMIFS('[7]TABLO-1'!O4:O32873,'[7]TABLO-1'!H4:H32873,"=Dağıtım-OG",'[7]TABLO-1'!J4:J32873,"=Güvenlik",'[7]TABLO-1'!K4:K32873,"=Bildirimsiz",'[7]TABLO-1'!I4:I32873,"=Uzun",'[7]TABLO-1'!D4:D32873,"=MALKARA")/P6</f>
        <v>0</v>
      </c>
      <c r="E36" s="10">
        <f>SUMIFS('[7]TABLO-1'!P4:P32873,'[7]TABLO-1'!H4:H32873,"=Dağıtım-OG",'[7]TABLO-1'!J4:J32873,"=Güvenlik",'[7]TABLO-1'!K4:K32873,"=Bildirimsiz",'[7]TABLO-1'!I4:I32873,"=Uzun",'[7]TABLO-1'!D4:D32873,"=MALKARA")/P12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SUMIFS('[7]TABLO-1'!Q4:Q32873,'[7]TABLO-1'!H4:H32873,"=Dağıtım-OG",'[7]TABLO-1'!J4:J32873,"=Güvenlik",'[7]TABLO-1'!K4:K32873,"=Bildirimsiz",'[7]TABLO-1'!I4:I32873,"=Uzun",'[7]TABLO-1'!D4:D32873,"=MALKARA")/P7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SUMIFS('[7]TABLO-1'!R4:R32873,'[7]TABLO-1'!H4:H32873,"=Dağıtım-OG",'[7]TABLO-1'!J4:J32873,"=Güvenlik",'[7]TABLO-1'!K4:K32873,"=Bildirimsiz",'[7]TABLO-1'!I4:I32873,"=Uzun",'[7]TABLO-1'!D4:D32873,"=MALKARA")/P13</f>
        <v>#DIV/0!</v>
      </c>
      <c r="I36" s="10" t="str">
        <f t="shared" si="11"/>
        <v>0,00</v>
      </c>
      <c r="J36" s="10">
        <f>SUMIFS('[7]TABLO-1'!S4:S32873,'[7]TABLO-1'!H4:H32873,"=Dağıtım-OG",'[7]TABLO-1'!J4:J32873,"=Güvenlik",'[7]TABLO-1'!K4:K32873,"=Bildirimsiz",'[7]TABLO-1'!I4:I32873,"=Uzun",'[7]TABLO-1'!D4:D32873,"=MALKARA")/P8</f>
        <v>0</v>
      </c>
      <c r="K36" s="10">
        <f>SUMIFS('[7]TABLO-1'!T4:T32873,'[7]TABLO-1'!H4:H32873,"=Dağıtım-OG",'[7]TABLO-1'!J4:J32873,"=Güvenlik",'[7]TABLO-1'!K4:K32873,"=bildirimsiz",'[7]TABLO-1'!I4:I32873,"=Uzun",'[7]TABLO-1'!D4:D32873,"=MALKARA")/P14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İşletmecisi",'[7]TABLO-1'!K4:K32873,"=Bildirimsiz",'[7]TABLO-1'!I4:I32873,"=Uzun",'[7]TABLO-1'!D4:D32873,"=MALKARA")/P6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İşletmecisi",'[7]TABLO-1'!K4:K32873,"=Bildirimsiz",'[7]TABLO-1'!I4:I32873,"=Uzun",'[7]TABLO-1'!D4:D32873,"=MALKARA")/P12</f>
        <v>3.9119338742238982E-2</v>
      </c>
      <c r="F37" s="10">
        <f t="shared" si="10"/>
        <v>3.8905936280637952E-2</v>
      </c>
      <c r="G37" s="12" t="e">
        <f>SUMIFS('[7]TABLO-1'!Q4:Q32873,'[7]TABLO-1'!H4:H32873,"=Dağıtım-AG",'[7]TABLO-1'!J4:J32873,"=Şebeke İşletmecisi",'[7]TABLO-1'!K4:K32873,"=Bildirimsiz",'[7]TABLO-1'!I4:I32873,"=Uzun",'[7]TABLO-1'!D4:D32873,"=MALKARA")/P7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İşletmecisi",'[7]TABLO-1'!K4:K32873,"=Bildirimsiz",'[7]TABLO-1'!I4:I32873,"=Uzun",'[7]TABLO-1'!D4:D32873,"=MALKARA")/P13</f>
        <v>#DIV/0!</v>
      </c>
      <c r="I37" s="10" t="str">
        <f t="shared" si="11"/>
        <v>0,00</v>
      </c>
      <c r="J37" s="12">
        <f>SUMIFS('[7]TABLO-1'!S4:S32873,'[7]TABLO-1'!H4:H32873,"=Dağıtım-AG",'[7]TABLO-1'!J4:J32873,"=Şebeke İşletmecisi",'[7]TABLO-1'!K4:K32873,"=Bildirimsiz",'[7]TABLO-1'!I4:I32873,"=Uzun",'[7]TABLO-1'!D4:D32873,"=MALKARA")/P8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İşletmecisi",'[7]TABLO-1'!K4:K32873,"=bildirimsiz",'[7]TABLO-1'!I4:I32873,"=Uzun",'[7]TABLO-1'!D4:D32873,"=MALKARA")/P14</f>
        <v>5.4039781728568916E-2</v>
      </c>
      <c r="L37" s="10">
        <f t="shared" si="12"/>
        <v>5.3526283671868187E-2</v>
      </c>
      <c r="M37" s="11">
        <f t="shared" si="13"/>
        <v>4.3334741734445972E-2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SUMIFS('[7]TABLO-1'!O4:O32873,'[7]TABLO-1'!H4:H32873,"=Dağıtım-AG",'[7]TABLO-1'!J4:J32873,"=Dışsal",'[7]TABLO-1'!K4:K32873,"=Bildirimsiz",'[7]TABLO-1'!I4:I32873,"=Uzun",'[7]TABLO-1'!D4:D32873,"=MALKARA")/P6</f>
        <v>0</v>
      </c>
      <c r="E38" s="10">
        <f>SUMIFS('[7]TABLO-1'!P4:P32873,'[7]TABLO-1'!H4:H32873,"=Dağıtım-AG",'[7]TABLO-1'!J4:J32873,"=Dışsal",'[7]TABLO-1'!K4:K32873,"=Bildirimsiz",'[7]TABLO-1'!I4:I32873,"=Uzun",'[7]TABLO-1'!D4:D32873,"=MALKARA")/P12</f>
        <v>0</v>
      </c>
      <c r="F38" s="10">
        <f t="shared" si="10"/>
        <v>0</v>
      </c>
      <c r="G38" s="12" t="e">
        <f>SUMIFS('[7]TABLO-1'!Q4:Q32873,'[7]TABLO-1'!H4:H32873,"=Dağıtım-AG",'[7]TABLO-1'!J4:J32873,"=Dışsal",'[7]TABLO-1'!K4:K32873,"=Bildirimsiz",'[7]TABLO-1'!I4:I32873,"=Uzun",'[7]TABLO-1'!D4:D32873,"=MALKARA")/P7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SUMIFS('[7]TABLO-1'!R4:R32873,'[7]TABLO-1'!H4:H32873,"=Dağıtım-AG",'[7]TABLO-1'!J4:J32873,"=Dışsal",'[7]TABLO-1'!K4:K32873,"=Bildirimsiz",'[7]TABLO-1'!I4:I32873,"=Uzun",'[7]TABLO-1'!D4:D32873,"=MALKARA")/P13</f>
        <v>#DIV/0!</v>
      </c>
      <c r="I38" s="10" t="str">
        <f t="shared" si="11"/>
        <v>0,00</v>
      </c>
      <c r="J38" s="12">
        <f>SUMIFS('[7]TABLO-1'!S4:S32873,'[7]TABLO-1'!H4:H32873,"=Dağıtım-AG",'[7]TABLO-1'!J4:J32873,"=Dışsal",'[7]TABLO-1'!K4:K32873,"=Bildirimsiz",'[7]TABLO-1'!I4:I32873,"=Uzun",'[7]TABLO-1'!D4:D32873,"=MALKARA")/P8</f>
        <v>0</v>
      </c>
      <c r="K38" s="10">
        <f>SUMIFS('[7]TABLO-1'!T4:T32873,'[7]TABLO-1'!H4:H32873,"=Dağıtım-AG",'[7]TABLO-1'!J4:J32873,"=Dışsal",'[7]TABLO-1'!K4:K32873,"=bildirimsiz",'[7]TABLO-1'!I4:I32873,"=Uzun",'[7]TABLO-1'!D4:D32873,"=MALKARA")/P14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Sebep",'[7]TABLO-1'!K4:K32873,"=Bildirimsiz",'[7]TABLO-1'!I4:I32873,"=Uzun",'[7]TABLO-1'!D4:D32873,"=MALKARA")/P6</f>
        <v>0</v>
      </c>
      <c r="E39" s="10">
        <f>SUMIFS('[7]TABLO-1'!P4:P32873,'[7]TABLO-1'!H4:H32873,"=Dağıtım-AG",'[7]TABLO-1'!J4:J32873,"=Mücbir Sebep",'[7]TABLO-1'!K4:K32873,"=Bildirimsiz",'[7]TABLO-1'!I4:I32873,"=Uzun",'[7]TABLO-1'!D4:D32873,"=MALKARA")/P12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Sebep",'[7]TABLO-1'!K4:K32873,"=Bildirimsiz",'[7]TABLO-1'!I4:I32873,"=Uzun",'[7]TABLO-1'!D4:D32873,"=MALKARA")/P7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Sebep",'[7]TABLO-1'!K4:K32873,"=Bildirimsiz",'[7]TABLO-1'!I4:I32873,"=Uzun",'[7]TABLO-1'!D4:D32873,"=MALKARA")/P13</f>
        <v>#DIV/0!</v>
      </c>
      <c r="I39" s="10" t="str">
        <f t="shared" si="11"/>
        <v>0,00</v>
      </c>
      <c r="J39" s="12">
        <f>SUMIFS('[7]TABLO-1'!S4:S32873,'[7]TABLO-1'!H4:H32873,"=Dağıtım-AG",'[7]TABLO-1'!J4:J32873,"=Mücbir Sebep",'[7]TABLO-1'!K4:K32873,"=Bildirimsiz",'[7]TABLO-1'!I4:I32873,"=Uzun",'[7]TABLO-1'!D4:D32873,"=MALKARA")/P8</f>
        <v>0</v>
      </c>
      <c r="K39" s="10">
        <f>SUMIFS('[7]TABLO-1'!T4:T32873,'[7]TABLO-1'!H4:H32873,"=Dağıtım-AG",'[7]TABLO-1'!J4:J32873,"=Mücbir Sebep",'[7]TABLO-1'!K4:K32873,"=bildirimsiz",'[7]TABLO-1'!I4:I32873,"=Uzun",'[7]TABLO-1'!D4:D32873,"=MALKARA")/P14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SUMIFS('[7]TABLO-1'!O4:O32873,'[7]TABLO-1'!H4:H32873,"=Dağıtım-AG",'[7]TABLO-1'!J4:J32873,"=Güvenlik",'[7]TABLO-1'!K4:K32873,"=Bildirimsiz",'[7]TABLO-1'!I4:I32873,"=Uzun",'[7]TABLO-1'!D4:D32873,"=MALKARA")/P6</f>
        <v>0</v>
      </c>
      <c r="E40" s="10">
        <f>SUMIFS('[7]TABLO-1'!P4:P32873,'[7]TABLO-1'!H4:H32873,"=Dağıtım-AG",'[7]TABLO-1'!J4:J32873,"=Güvenlik",'[7]TABLO-1'!K4:K32873,"=Bildirimsiz",'[7]TABLO-1'!I4:I32873,"=Uzun",'[7]TABLO-1'!D4:D32873,"=MALKARA")/P12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SUMIFS('[7]TABLO-1'!Q4:Q32873,'[7]TABLO-1'!H4:H32873,"=Dağıtım-AG",'[7]TABLO-1'!J4:J32873,"=Güvenlik",'[7]TABLO-1'!K4:K32873,"=Bildirimsiz",'[7]TABLO-1'!I4:I32873,"=Uzun",'[7]TABLO-1'!D4:D32873,"=MALKARA")/P7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SUMIFS('[7]TABLO-1'!R4:R32873,'[7]TABLO-1'!H4:H32873,"=Dağıtım-AG",'[7]TABLO-1'!J4:J32873,"=Güvenlik",'[7]TABLO-1'!K4:K32873,"=Bildirimsiz",'[7]TABLO-1'!I4:I32873,"=Uzun",'[7]TABLO-1'!D4:D32873,"=MALKARA")/P13</f>
        <v>#DIV/0!</v>
      </c>
      <c r="I40" s="10" t="str">
        <f t="shared" si="11"/>
        <v>0,00</v>
      </c>
      <c r="J40" s="12">
        <f>SUMIFS('[7]TABLO-1'!S4:S32873,'[7]TABLO-1'!H4:H32873,"=Dağıtım-AG",'[7]TABLO-1'!J4:J32873,"=Güvenlik",'[7]TABLO-1'!K4:K32873,"=Bildirimsiz",'[7]TABLO-1'!I4:I32873,"=Uzun",'[7]TABLO-1'!D4:D32873,"=MALKARA")/P8</f>
        <v>0</v>
      </c>
      <c r="K40" s="10">
        <f>SUMIFS('[7]TABLO-1'!T4:T32873,'[7]TABLO-1'!H4:H32873,"=Dağıtım-AG",'[7]TABLO-1'!J4:J32873,"=Güvenlik",'[7]TABLO-1'!K4:K32873,"=bildirimsiz",'[7]TABLO-1'!I4:I32873,"=Uzun",'[7]TABLO-1'!D4:D32873,"=MALKARA")/P14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0.3263888888888889</v>
      </c>
      <c r="E41" s="10">
        <f t="shared" ref="E41:M41" si="14">SUM(E31:E40)</f>
        <v>0.17590370624309604</v>
      </c>
      <c r="F41" s="10">
        <f t="shared" si="14"/>
        <v>0.17672462779861348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>
        <f t="shared" si="14"/>
        <v>0.23853211009174313</v>
      </c>
      <c r="K41" s="10">
        <f t="shared" si="14"/>
        <v>0.33207181834184124</v>
      </c>
      <c r="L41" s="10">
        <f t="shared" si="14"/>
        <v>0.33118298317496292</v>
      </c>
      <c r="M41" s="10">
        <f t="shared" si="14"/>
        <v>0.22351325657547266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İşletmecisi",'[7]TABLO-1'!K4:K32873,"=Bildirimli",'[7]TABLO-1'!I4:I32873,"=Uzun",'[7]TABLO-1'!D4:D32873,"=MALKARA")/P6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İşletmecisi",'[7]TABLO-1'!K4:K32873,"=Bildirimli",'[7]TABLO-1'!I4:I32873,"=Uzun",'[7]TABLO-1'!D4:D32873,"=MALKARA")/P12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İşletmecisi",'[7]TABLO-1'!K4:K32873,"=Bildirimli",'[7]TABLO-1'!I4:I32873,"=Uzun",'[7]TABLO-1'!D4:D32873,"=MALKARA")/P7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İşletmecisi",'[7]TABLO-1'!K4:K32873,"=Bildirimli",'[7]TABLO-1'!I4:I32873,"=Uzun",'[7]TABLO-1'!D4:D32873,"=MALKARA")/P13</f>
        <v>#DIV/0!</v>
      </c>
      <c r="I46" s="10" t="str">
        <f>IFERROR((((G46*$P$7)+(H46*$P$13))/$P$20),"0,00")</f>
        <v>0,00</v>
      </c>
      <c r="J46" s="10">
        <f>SUMIFS('[7]TABLO-1'!S4:S32873,'[7]TABLO-1'!H4:H32873,"=İletim",'[7]TABLO-1'!J4:J32873,"=Şebeke İşletmecisi",'[7]TABLO-1'!K4:K32873,"=Bildirimli",'[7]TABLO-1'!I4:I32873,"=Uzun",'[7]TABLO-1'!D4:D32873,"=MALKARA")/P8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İşletmecisi",'[7]TABLO-1'!K4:K32873,"=bildirimli",'[7]TABLO-1'!I4:I32873,"=Uzun",'[7]TABLO-1'!D4:D32873,"=MALKARA")/P14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İşletmecisi",'[7]TABLO-1'!K4:K32873,"=Bildirimli",'[7]TABLO-1'!I4:I32873,"=Uzun",'[7]TABLO-1'!D4:D32873,"=MALKARA")/P6</f>
        <v>0.16666666666666666</v>
      </c>
      <c r="E47" s="10">
        <f>SUMIFS('[7]TABLO-1'!P4:P32873,'[7]TABLO-1'!H4:H32873,"=Dağıtım-OG",'[7]TABLO-1'!J4:J32873,"=Şebeke İşletmecisi",'[7]TABLO-1'!K4:K32873,"=Bildirimli",'[7]TABLO-1'!I4:I32873,"=Uzun",'[7]TABLO-1'!D4:D32873,"=MALKARA")/P12</f>
        <v>7.0506227859673185E-2</v>
      </c>
      <c r="F47" s="10">
        <f t="shared" ref="F47:F50" si="15">IFERROR((((D47*$P$6)+(E47*$P$12))/$P$17),"0,00")</f>
        <v>7.1030798954426641E-2</v>
      </c>
      <c r="G47" s="10" t="e">
        <f>SUMIFS('[7]TABLO-1'!Q4:Q32873,'[7]TABLO-1'!H4:H32873,"=Dağıtım-OG",'[7]TABLO-1'!J4:J32873,"=Şebeke İşletmecisi",'[7]TABLO-1'!K4:K32873,"=Bildirimli",'[7]TABLO-1'!I4:I32873,"=Uzun",'[7]TABLO-1'!D4:D32873,"=MALKARA")/P7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İşletmecisi",'[7]TABLO-1'!K4:K32873,"=Bildirimli",'[7]TABLO-1'!I4:I32873,"=Uzun",'[7]TABLO-1'!D4:D32873,"=MALKARA")/P13</f>
        <v>#DIV/0!</v>
      </c>
      <c r="I47" s="10" t="str">
        <f t="shared" ref="I47:I50" si="16">IFERROR((((G47*$P$7)+(H47*$P$13))/$P$20),"0,00")</f>
        <v>0,00</v>
      </c>
      <c r="J47" s="10">
        <f>SUMIFS('[7]TABLO-1'!S4:S32873,'[7]TABLO-1'!H4:H32873,"=Dağıtım-OG",'[7]TABLO-1'!J4:J32873,"=Şebeke İşletmecisi",'[7]TABLO-1'!K4:K32873,"=Bildirimli",'[7]TABLO-1'!I4:I32873,"=Uzun",'[7]TABLO-1'!D4:D32873,"=MALKARA")/P8</f>
        <v>0.30275229357798167</v>
      </c>
      <c r="K47" s="10">
        <f>SUMIFS('[7]TABLO-1'!T4:T32873,'[7]TABLO-1'!H4:H32873,"=Dağıtım-OG",'[7]TABLO-1'!J4:J32873,"=Şebeke İşletmecisi",'[7]TABLO-1'!K4:K32873,"=bildirimli",'[7]TABLO-1'!I4:I32873,"=Uzun",'[7]TABLO-1'!D4:D32873,"=MALKARA")/P14</f>
        <v>0.61494455201549025</v>
      </c>
      <c r="L47" s="10">
        <f t="shared" ref="L47:L50" si="17">IFERROR((((J47*$P$8)+(K47*$P$14))/$P$23),"0,00")</f>
        <v>0.61197803155784147</v>
      </c>
      <c r="M47" s="11">
        <f t="shared" ref="M47:M50" si="18">IFERROR((((F47*$P$17)+(I47*$P$20)+(L47*$P$23))/$P$26),"0,00")</f>
        <v>0.23489489806696948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SUMIFS('[7]TABLO-1'!O4:O32873,'[7]TABLO-1'!H4:H32873,"=Dağıtım-OG",'[7]TABLO-1'!J4:J32873,"=Güvenlik",'[7]TABLO-1'!K4:K32873,"=Bildirimli",'[7]TABLO-1'!I4:I32873,"=Uzun",'[7]TABLO-1'!D4:D32873,"=MALKARA")/P6</f>
        <v>0</v>
      </c>
      <c r="E48" s="10">
        <f>SUMIFS('[7]TABLO-1'!P4:P32873,'[7]TABLO-1'!H4:H32873,"=Dağıtım-OG",'[7]TABLO-1'!J4:J32873,"=Güvenlik",'[7]TABLO-1'!K4:K32873,"=Bildirimli",'[7]TABLO-1'!I4:I32873,"=Uzun",'[7]TABLO-1'!D4:D32873,"=MALKARA")/P12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SUMIFS('[7]TABLO-1'!Q4:Q32873,'[7]TABLO-1'!H4:H32873,"=Dağıtım-OG",'[7]TABLO-1'!J4:J32873,"=Güvenlik",'[7]TABLO-1'!K4:K32873,"=Bildirimli",'[7]TABLO-1'!I4:I32873,"=Uzun",'[7]TABLO-1'!D4:D32873,"=MALKARA")/P7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SUMIFS('[7]TABLO-1'!R4:R32873,'[7]TABLO-1'!H4:H32873,"=Dağıtım-OG",'[7]TABLO-1'!J4:J32873,"=Güvenlik",'[7]TABLO-1'!K4:K32873,"=Bildirimli",'[7]TABLO-1'!I4:I32873,"=Uzun",'[7]TABLO-1'!D4:D32873,"=MALKARA")/P13</f>
        <v>#DIV/0!</v>
      </c>
      <c r="I48" s="10" t="str">
        <f t="shared" si="16"/>
        <v>0,00</v>
      </c>
      <c r="J48" s="10">
        <f>SUMIFS('[7]TABLO-1'!S4:S32873,'[7]TABLO-1'!H4:H32873,"=Dağıtım-OG",'[7]TABLO-1'!J4:J32873,"=Güvenlik",'[7]TABLO-1'!K4:K32873,"=Bildirimli",'[7]TABLO-1'!I4:I32873,"=Uzun",'[7]TABLO-1'!D4:D32873,"=MALKARA")/P8</f>
        <v>0</v>
      </c>
      <c r="K48" s="10">
        <f>SUMIFS('[7]TABLO-1'!T4:T32873,'[7]TABLO-1'!H4:H32873,"=Dağıtım-OG",'[7]TABLO-1'!J4:J32873,"=Güvenlik",'[7]TABLO-1'!K4:K32873,"=bildirimli",'[7]TABLO-1'!I4:I32873,"=Uzun",'[7]TABLO-1'!D4:D32873,"=MALKARA")/P14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İşletmecisi",'[7]TABLO-1'!K4:K32873,"=Bildirimli",'[7]TABLO-1'!I4:I32873,"=Uzun",'[7]TABLO-1'!D4:D32873,"=MALKARA")/P6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İşletmecisi",'[7]TABLO-1'!K4:K32873,"=Bildirimli",'[7]TABLO-1'!I4:I32873,"=Uzun",'[7]TABLO-1'!D4:D32873,"=MALKARA")/P12</f>
        <v>2.7806345941416219E-3</v>
      </c>
      <c r="F49" s="10">
        <f t="shared" si="15"/>
        <v>2.7654657726256773E-3</v>
      </c>
      <c r="G49" s="12" t="e">
        <f>SUMIFS('[7]TABLO-1'!Q4:Q32873,'[7]TABLO-1'!H4:H32873,"=Dağıtım-AG",'[7]TABLO-1'!J4:J32873,"=Şebeke İşletmecisi",'[7]TABLO-1'!K4:K32873,"=Bildirimli",'[7]TABLO-1'!I4:I32873,"=Uzun",'[7]TABLO-1'!D4:D32873,"=MALKARA")/P7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İşletmecisi",'[7]TABLO-1'!K4:K32873,"=Bildirimli",'[7]TABLO-1'!I4:I32873,"=Uzun",'[7]TABLO-1'!D4:D32873,"=MALKARA")/P13</f>
        <v>#DIV/0!</v>
      </c>
      <c r="I49" s="10" t="str">
        <f t="shared" si="16"/>
        <v>0,00</v>
      </c>
      <c r="J49" s="12">
        <f>SUMIFS('[7]TABLO-1'!S4:S32873,'[7]TABLO-1'!H4:H32873,"=Dağıtım-AG",'[7]TABLO-1'!J4:J32873,"=Şebeke İşletmecisi",'[7]TABLO-1'!K4:K32873,"=Bildirimli",'[7]TABLO-1'!I4:I32873,"=Uzun",'[7]TABLO-1'!D4:D32873,"=MALKARA")/P8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İşletmecisi",'[7]TABLO-1'!K4:K32873,"=bildirimli",'[7]TABLO-1'!I4:I32873,"=Uzun",'[7]TABLO-1'!D4:D32873,"=MALKARA")/P14</f>
        <v>0</v>
      </c>
      <c r="L49" s="10">
        <f t="shared" si="17"/>
        <v>0</v>
      </c>
      <c r="M49" s="11">
        <f t="shared" si="18"/>
        <v>1.9277490229217282E-3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SUMIFS('[7]TABLO-1'!O4:O32873,'[7]TABLO-1'!H4:H32873,"=Dağıtım-AG",'[7]TABLO-1'!J4:J32873,"=Güvenlik",'[7]TABLO-1'!K4:K32873,"=Bildirimli",'[7]TABLO-1'!I4:I32873,"=Uzun",'[7]TABLO-1'!D4:D32873,"=MALKARA")/P6</f>
        <v>0</v>
      </c>
      <c r="E50" s="10">
        <f>SUMIFS('[7]TABLO-1'!P4:P32873,'[7]TABLO-1'!H4:H32873,"=Dağıtım-AG",'[7]TABLO-1'!J4:J32873,"=Güvenlik",'[7]TABLO-1'!K4:K32873,"=Bildirimli",'[7]TABLO-1'!I4:I32873,"=Uzun",'[7]TABLO-1'!D4:D32873,"=MALKARA")/P12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SUMIFS('[7]TABLO-1'!Q4:Q32873,'[7]TABLO-1'!H4:H32873,"=Dağıtım-AG",'[7]TABLO-1'!J4:J32873,"=Güvenlik",'[7]TABLO-1'!K4:K32873,"=Bildirimli",'[7]TABLO-1'!I4:I32873,"=Uzun",'[7]TABLO-1'!D4:D32873,"=MALKARA")/P7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SUMIFS('[7]TABLO-1'!R4:R32873,'[7]TABLO-1'!H4:H32873,"=Dağıtım-AG",'[7]TABLO-1'!J4:J32873,"=Güvenlik",'[7]TABLO-1'!K4:K32873,"=Bildirimli",'[7]TABLO-1'!I4:I32873,"=Uzun",'[7]TABLO-1'!D4:D32873,"=MALKARA")/P13</f>
        <v>#DIV/0!</v>
      </c>
      <c r="I50" s="10" t="str">
        <f t="shared" si="16"/>
        <v>0,00</v>
      </c>
      <c r="J50" s="12">
        <f>SUMIFS('[7]TABLO-1'!S4:S32873,'[7]TABLO-1'!H4:H32873,"=Dağıtım-AG",'[7]TABLO-1'!J4:J32873,"=Güvenlik",'[7]TABLO-1'!K4:K32873,"=Bildirimli",'[7]TABLO-1'!I4:I32873,"=Uzun",'[7]TABLO-1'!D4:D32873,"=MALKARA")/P8</f>
        <v>0</v>
      </c>
      <c r="K50" s="10">
        <f>SUMIFS('[7]TABLO-1'!T4:T32873,'[7]TABLO-1'!H4:H32873,"=Dağıtım-AG",'[7]TABLO-1'!J4:J32873,"=Güvenlik",'[7]TABLO-1'!K4:K32873,"=bildirimli",'[7]TABLO-1'!I4:I32873,"=Uzun",'[7]TABLO-1'!D4:D32873,"=MALKARA")/P14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0.16666666666666666</v>
      </c>
      <c r="E51" s="10">
        <f t="shared" ref="E51:M51" si="19">SUM(E46:E50)</f>
        <v>7.3286862453814799E-2</v>
      </c>
      <c r="F51" s="10">
        <f t="shared" si="19"/>
        <v>7.3796264727052321E-2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>
        <f t="shared" si="19"/>
        <v>0.30275229357798167</v>
      </c>
      <c r="K51" s="10">
        <f t="shared" si="19"/>
        <v>0.61494455201549025</v>
      </c>
      <c r="L51" s="10">
        <f t="shared" si="19"/>
        <v>0.61197803155784147</v>
      </c>
      <c r="M51" s="10">
        <f t="shared" si="19"/>
        <v>0.2368226470898912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SUMIFS('[7]TABLO-1'!O1:O32873,'[7]TABLO-1'!H1:H32873,"=İletim",'[7]TABLO-1'!K1:K32873,"=Bildirimsiz",'[7]TABLO-1'!I1:I32873,"=Kısa",'[7]TABLO-1'!D1:D32873,"=MALKARA")/P6</f>
        <v>0</v>
      </c>
      <c r="D56" s="10">
        <f>SUMIFS('[7]TABLO-1'!P1:P32873,'[7]TABLO-1'!H1:H32873,"=İletim",'[7]TABLO-1'!K1:K32873,"=Bildirimsiz",'[7]TABLO-1'!I1:I32873,"=Kısa",'[7]TABLO-1'!D1:D32873,"=MALKARA")/P12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SUMIFS('[7]TABLO-1'!Q1:Q32873,'[7]TABLO-1'!H1:H32873,"=İletim",'[7]TABLO-1'!K1:K32873,"=Bildirimsiz",'[7]TABLO-1'!I1:I32873,"=Kısa",'[7]TABLO-1'!D1:D32873,"=MALKARA")/P7</f>
        <v>#DIV/0!</v>
      </c>
      <c r="G56" s="10" t="e">
        <f>SUMIFS('[7]TABLO-1'!R1:R32873,'[7]TABLO-1'!H1:H32873,"=İletim",'[7]TABLO-1'!K1:K32873,"=Bildirimsiz",'[7]TABLO-1'!I1:I32873,"=Kısa",'[7]TABLO-1'!D1:D32873,"=MALKARA")/P13</f>
        <v>#DIV/0!</v>
      </c>
      <c r="H56" s="10" t="str">
        <f>IFERROR((((F56*$P$7)+(G56*$P$13))/$P$20),"0,00")</f>
        <v>0,00</v>
      </c>
      <c r="I56" s="10">
        <f>SUMIFS('[7]TABLO-1'!S1:S32873,'[7]TABLO-1'!H1:H32873,"=İletim",'[7]TABLO-1'!K1:K32873,"=Bildirimsiz",'[7]TABLO-1'!I1:I32873,"=Kısa",'[7]TABLO-1'!D1:D32873,"=MALKARA")/P8</f>
        <v>0</v>
      </c>
      <c r="J56" s="10">
        <f>SUMIFS('[7]TABLO-1'!T1:T32873,'[7]TABLO-1'!H1:H32873,"=İletim",'[7]TABLO-1'!K1:K32873,"=Bildirimsiz",'[7]TABLO-1'!I1:I32873,"=Kısa",'[7]TABLO-1'!D1:D32873,"=MALKARA")/P14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SUMIFS('[7]TABLO-1'!O4:O32873,'[7]TABLO-1'!H4:H32873,"=Dağıtım-OG",'[7]TABLO-1'!K4:K32873,"=Bildirimsiz",'[7]TABLO-1'!I4:I32873,"=Kısa",'[7]TABLO-1'!D4:D32873,"=MALKARA")/P6</f>
        <v>6.9444444444444441E-3</v>
      </c>
      <c r="D57" s="10">
        <f>SUMIFS('[7]TABLO-1'!P4:P32873,'[7]TABLO-1'!H4:H32873,"=Dağıtım-OG",'[7]TABLO-1'!K4:K32873,"=Bildirimsiz",'[7]TABLO-1'!I4:I32873,"=Kısa",'[7]TABLO-1'!D4:D32873,"=MALKARA")/P12</f>
        <v>0</v>
      </c>
      <c r="E57" s="10">
        <f>IFERROR((((C57*$P$6)+(D57*$P$12))/$P$17),"0,00")</f>
        <v>3.7883092775694207E-5</v>
      </c>
      <c r="F57" s="10" t="e">
        <f>SUMIFS('[7]TABLO-1'!Q4:Q32873,'[7]TABLO-1'!H4:H32873,"=Dağıtım-OG",'[7]TABLO-1'!K4:K32873,"=Bildirimsiz",'[7]TABLO-1'!I4:I32873,"=Kısa",'[7]TABLO-1'!D4:D32873,"=MALKARA")/P7</f>
        <v>#DIV/0!</v>
      </c>
      <c r="G57" s="10" t="e">
        <f>SUMIFS('[7]TABLO-1'!R4:R32873,'[7]TABLO-1'!H4:H32873,"=Dağıtım-OG",'[7]TABLO-1'!K4:K32873,"=Bildirimsiz",'[7]TABLO-1'!I4:I32873,"=Kısa",'[7]TABLO-1'!D4:D32873,"=MALKARA")/P13</f>
        <v>#DIV/0!</v>
      </c>
      <c r="H57" s="10" t="str">
        <f>IFERROR((((F57*$P$7)+(G57*$P$13))/$P$20),"0,00")</f>
        <v>0,00</v>
      </c>
      <c r="I57" s="10">
        <f>SUMIFS('[7]TABLO-1'!S4:S32873,'[7]TABLO-1'!H4:H32873,"=Dağıtım-OG",'[7]TABLO-1'!K4:K32873,"=Bildirimsiz",'[7]TABLO-1'!I4:I32873,"=Kısa",'[7]TABLO-1'!D4:D32873,"=MALKARA")/P8</f>
        <v>0</v>
      </c>
      <c r="J57" s="10">
        <f>SUMIFS('[7]TABLO-1'!T4:T32873,'[7]TABLO-1'!H4:H32873,"=Dağıtım-OG",'[7]TABLO-1'!K4:K32873,"=Bildirimsiz",'[7]TABLO-1'!I4:I32873,"=Kısa",'[7]TABLO-1'!D4:D32873,"=MALKARA")/P14</f>
        <v>0</v>
      </c>
      <c r="K57" s="10">
        <f>IFERROR((((I57*$P$8)+(J57*$P$14))/$P$23),"0,00")</f>
        <v>0</v>
      </c>
      <c r="L57" s="11">
        <f>IFERROR((((E57*$P$17)+(H57*$P$20)+(K57*$P$23))/$P$26),"0,00")</f>
        <v>2.6407520861941482E-5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SUMIFS('[7]TABLO-1'!O4:O32873,'[7]TABLO-1'!H4:H32873,"=Dağıtım-AG",'[7]TABLO-1'!K4:K32873,"=Bildirimsiz",'[7]TABLO-1'!I4:I32873,"=Kısa",'[7]TABLO-1'!D4:D32873,"=MALKARA")/P6</f>
        <v>0</v>
      </c>
      <c r="D58" s="10">
        <f>SUMIFS('[7]TABLO-1'!P4:P32873,'[7]TABLO-1'!H4:H32873,"=Dağıtım-AG",'[7]TABLO-1'!K4:K32873,"=Bildirimsiz",'[7]TABLO-1'!I4:I32873,"=Kısa",'[7]TABLO-1'!D4:D32873,"=MALKARA")/P12</f>
        <v>0</v>
      </c>
      <c r="E58" s="10">
        <f>IFERROR((((C58*$P$6)+(D58*$P$12))/$P$17),"0,00")</f>
        <v>0</v>
      </c>
      <c r="F58" s="10" t="e">
        <f>SUMIFS('[7]TABLO-1'!Q4:Q32873,'[7]TABLO-1'!H4:H32873,"=Dağıtım-AG",'[7]TABLO-1'!K4:K32873,"=Bildirimsiz",'[7]TABLO-1'!I4:I32873,"=Kısa",'[7]TABLO-1'!D4:D32873,"=MALKARA")/P7</f>
        <v>#DIV/0!</v>
      </c>
      <c r="G58" s="10" t="e">
        <f>SUMIFS('[7]TABLO-1'!R4:R32873,'[7]TABLO-1'!H4:H32873,"=Dağıtım-AG",'[7]TABLO-1'!K4:K32873,"=Bildirimsiz",'[7]TABLO-1'!I4:I32873,"=Kısa",'[7]TABLO-1'!D4:D32873,"=MALKARA")/P13</f>
        <v>#DIV/0!</v>
      </c>
      <c r="H58" s="10" t="str">
        <f>IFERROR((((F58*$P$7)+(G58*$P$13))/$P$20),"0,00")</f>
        <v>0,00</v>
      </c>
      <c r="I58" s="10">
        <f>SUMIFS('[7]TABLO-1'!S4:S32873,'[7]TABLO-1'!H4:H32873,"=Dağıtım-AG",'[7]TABLO-1'!K4:K32873,"=Bildirimsiz",'[7]TABLO-1'!I4:I32873,"=Kısa",'[7]TABLO-1'!D4:D32873,"=MALKARA")/P8</f>
        <v>0</v>
      </c>
      <c r="J58" s="10">
        <f>SUMIFS('[7]TABLO-1'!T4:T32873,'[7]TABLO-1'!H4:H32873,"=Dağıtım-AG",'[7]TABLO-1'!K4:K32873,"=Bildirimsiz",'[7]TABLO-1'!I4:I32873,"=Kısa",'[7]TABLO-1'!D4:D32873,"=MALKARA")/P14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6.9444444444444441E-3</v>
      </c>
      <c r="D59" s="10">
        <f t="shared" si="20"/>
        <v>0</v>
      </c>
      <c r="E59" s="10">
        <f t="shared" si="20"/>
        <v>3.7883092775694207E-5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2.6407520861941482E-5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144</v>
      </c>
      <c r="D65" s="27">
        <f>P12</f>
        <v>26253</v>
      </c>
      <c r="E65" s="27">
        <f>C65+D65</f>
        <v>26397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109</v>
      </c>
      <c r="J65" s="27">
        <f>P14</f>
        <v>11362</v>
      </c>
      <c r="K65" s="17">
        <f>SUM(I65:J65)</f>
        <v>11471</v>
      </c>
      <c r="L65" s="17">
        <f>H65+E65+K65</f>
        <v>37868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1:Q71"/>
  <sheetViews>
    <sheetView zoomScale="70" zoomScaleNormal="70" workbookViewId="0">
      <selection activeCell="O32" sqref="O32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İşletmecisi",'[7]TABLO-1'!K4:K32873,"=Bildirimsiz",'[7]TABLO-1'!I4:I32873,"=Uzun",'[7]TABLO-1'!D4:D32873,"=KAPAKLI")/P6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İşletmecisi",'[7]TABLO-1'!K4:K32873,"=Bildirimsiz",'[7]TABLO-1'!I4:I32873,"=Uzun",'[7]TABLO-1'!D4:D32873,"=KAPAKLI")/P12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İşletmecisi",'[7]TABLO-1'!K4:K32873,"=Bildirimsiz",'[7]TABLO-1'!I4:I32873,"=Uzun",'[7]TABLO-1'!D4:D32873,"=KAPAKLI")/P7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İşletmecisi",'[7]TABLO-1'!K4:K32873,"=Bildirimsiz",'[7]TABLO-1'!I4:I32873,"=Uzun",'[7]TABLO-1'!D4:D32873,"=KAPAKLI")/P13</f>
        <v>#DIV/0!</v>
      </c>
      <c r="I6" s="10" t="str">
        <f>IFERROR((((G6*$P$7)+(H6*$P$13))/$P$20),"0,00")</f>
        <v>0,00</v>
      </c>
      <c r="J6" s="10">
        <f>SUMIFS('[7]TABLO-1'!Y4:Y32873,'[7]TABLO-1'!H4:H32873,"=İletim",'[7]TABLO-1'!J4:J32873,"=Şebeke İşletmecisi",'[7]TABLO-1'!K4:K32873,"=Bildirimsiz",'[7]TABLO-1'!I4:I32873,"=Uzun",'[7]TABLO-1'!D4:D32873,"=KAPAKLI")/P8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İşletmecisi",'[7]TABLO-1'!K4:K32873,"=Bildirimsiz",'[7]TABLO-1'!I4:I32873,"=Uzun",'[7]TABLO-1'!D4:D32873,"=KAPAKLI")/P14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222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Sebep",'[7]TABLO-1'!K4:K32873,"=Bildirimsiz",'[7]TABLO-1'!I4:I32873,"=Uzun",'[7]TABLO-1'!D4:D32873,"=KAPAKLI")/P6</f>
        <v>0</v>
      </c>
      <c r="E7" s="10">
        <f>SUMIFS('[7]TABLO-1'!V4:V32873,'[7]TABLO-1'!H4:H32873,"=İletim",'[7]TABLO-1'!J4:J32873,"=Mücbir Sebep",'[7]TABLO-1'!K4:K32873,"=Bildirimsiz",'[7]TABLO-1'!I4:I32873,"=Uzun",'[7]TABLO-1'!D4:D32873,"=KAPAKLI")/P12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Sebep",'[7]TABLO-1'!K4:K32873,"=Bildirimsiz",'[7]TABLO-1'!I4:I32873,"=Uzun",'[7]TABLO-1'!D4:D32873,"=KAPAKLI")/P7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Sebep",'[7]TABLO-1'!K4:K32873,"=Bildirimsiz",'[7]TABLO-1'!I4:I32873,"=Uzun",'[7]TABLO-1'!D4:D32873,"=KAPAKLI")/P13</f>
        <v>#DIV/0!</v>
      </c>
      <c r="I7" s="10" t="str">
        <f t="shared" ref="I7:I15" si="1">IFERROR((((G7*$P$7)+(H7*$P$13))/$P$20),"0,00")</f>
        <v>0,00</v>
      </c>
      <c r="J7" s="10">
        <f>SUMIFS('[7]TABLO-1'!Y4:Y32873,'[7]TABLO-1'!H4:H32873,"=İletim",'[7]TABLO-1'!J4:J32873,"=Mücbir Sebep",'[7]TABLO-1'!K4:K32873,"=Bildirimsiz",'[7]TABLO-1'!I4:I32873,"=Uzun",'[7]TABLO-1'!D4:D32873,"=KAPAKLI")/P8</f>
        <v>0</v>
      </c>
      <c r="K7" s="10">
        <f>SUMIFS('[7]TABLO-1'!Z4:Z32873,'[7]TABLO-1'!H4:H32873,"=İletim",'[7]TABLO-1'!J4:J32873,"=Mücbir Sebep",'[7]TABLO-1'!K4:K32873,"=Bildirimsiz",'[7]TABLO-1'!I4:I32873,"=Uzun",'[7]TABLO-1'!D4:D32873,"=KAPAKLI")/P14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İşletmecisi",'[7]TABLO-1'!K4:K32873,"=Bildirimsiz",'[7]TABLO-1'!I4:I32873,"=Uzun",'[7]TABLO-1'!D4:D32873,"=KAPAKLI")/P6</f>
        <v>29.193918919411011</v>
      </c>
      <c r="E8" s="10">
        <f>SUMIFS('[7]TABLO-1'!V4:V32873,'[7]TABLO-1'!H4:H32873,"=Dağıtım-OG",'[7]TABLO-1'!J4:J32873,"=Şebeke İşletmecisi",'[7]TABLO-1'!K4:K32873,"=Bildirimsiz",'[7]TABLO-1'!I4:I32873,"=Uzun",'[7]TABLO-1'!D4:D32873,"=KAPAKLI")/P12</f>
        <v>29.07555416452249</v>
      </c>
      <c r="F8" s="10">
        <f t="shared" si="0"/>
        <v>29.07595396027433</v>
      </c>
      <c r="G8" s="10" t="e">
        <f>SUMIFS('[7]TABLO-1'!W4:W32873,'[7]TABLO-1'!H4:H32873,"=Dağıtım-OG",'[7]TABLO-1'!J4:J32873,"=Şebeke İşletmecisi",'[7]TABLO-1'!K4:K32873,"=Bildirimsiz",'[7]TABLO-1'!I4:I32873,"=Uzun",'[7]TABLO-1'!D4:D32873,"=KAPAKLI")/P7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İşletmecisi",'[7]TABLO-1'!K4:K32873,"=Bildirimsiz",'[7]TABLO-1'!I4:I32873,"=Uzun",'[7]TABLO-1'!D4:D32873,"=KAPAKLI")/P13</f>
        <v>#DIV/0!</v>
      </c>
      <c r="I8" s="10" t="str">
        <f t="shared" si="1"/>
        <v>0,00</v>
      </c>
      <c r="J8" s="10">
        <f>SUMIFS('[7]TABLO-1'!Y4:Y32873,'[7]TABLO-1'!H4:H32873,"=Dağıtım-OG",'[7]TABLO-1'!J4:J32873,"=Şebeke İşletmecisi",'[7]TABLO-1'!K4:K32873,"=Bildirimsiz",'[7]TABLO-1'!I4:I32873,"=Uzun",'[7]TABLO-1'!D4:D32873,"=KAPAKLI")/P8</f>
        <v>20.311111105838791</v>
      </c>
      <c r="K8" s="10">
        <f>SUMIFS('[7]TABLO-1'!Z4:Z32873,'[7]TABLO-1'!H4:H32873,"=Dağıtım-OG",'[7]TABLO-1'!J4:J32873,"=Şebeke İşletmecisi",'[7]TABLO-1'!K4:K32873,"=Bildirimsiz",'[7]TABLO-1'!I4:I32873,"=Uzun",'[7]TABLO-1'!D4:D32873,"=KAPAKLI")/P14</f>
        <v>58.183467368203296</v>
      </c>
      <c r="L8" s="10">
        <f t="shared" si="2"/>
        <v>57.583904999933672</v>
      </c>
      <c r="M8" s="11">
        <f t="shared" si="3"/>
        <v>29.239398683729906</v>
      </c>
      <c r="O8" s="20" t="s">
        <v>36</v>
      </c>
      <c r="P8" s="53">
        <v>6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SUMIFS('[7]TABLO-1'!U4:U32873,'[7]TABLO-1'!H4:H32873,"=Dağıtım-OG",'[7]TABLO-1'!J4:J32873,"=Dışsal",'[7]TABLO-1'!K4:K32873,"=Bildirimsiz",'[7]TABLO-1'!I4:I32873,"=Uzun",'[7]TABLO-1'!D4:D32873,"=KAPAKLI")/P6</f>
        <v>0</v>
      </c>
      <c r="E9" s="10">
        <f>SUMIFS('[7]TABLO-1'!V4:V32873,'[7]TABLO-1'!H4:H32873,"=Dağıtım-OG",'[7]TABLO-1'!J4:J32873,"=Dışsal",'[7]TABLO-1'!K4:K32873,"=Bildirimsiz",'[7]TABLO-1'!I4:I32873,"=Uzun",'[7]TABLO-1'!D4:D32873,"=KAPAKLI")/P12</f>
        <v>0</v>
      </c>
      <c r="F9" s="10">
        <f t="shared" si="0"/>
        <v>0</v>
      </c>
      <c r="G9" s="10" t="e">
        <f>SUMIFS('[7]TABLO-1'!W4:W32873,'[7]TABLO-1'!H4:H32873,"=Dağıtım-OG",'[7]TABLO-1'!J4:J32873,"=Dışsal",'[7]TABLO-1'!K4:K32873,"=Bildirimsiz",'[7]TABLO-1'!I4:I32873,"=Uzun",'[7]TABLO-1'!D4:D32873,"=KAPAKLI")/P7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SUMIFS('[7]TABLO-1'!X4:X32873,'[7]TABLO-1'!H4:H32873,"=Dağıtım-OG",'[7]TABLO-1'!J4:J32873,"=Dışsal",'[7]TABLO-1'!K4:K32873,"=Bildirimsiz",'[7]TABLO-1'!I4:I32873,"=Uzun",'[7]TABLO-1'!D4:D32873,"=KAPAKLI")/P13</f>
        <v>#DIV/0!</v>
      </c>
      <c r="I9" s="10" t="str">
        <f t="shared" si="1"/>
        <v>0,00</v>
      </c>
      <c r="J9" s="10">
        <f>SUMIFS('[7]TABLO-1'!Y4:Y32873,'[7]TABLO-1'!H4:H32873,"=Dağıtım-OG",'[7]TABLO-1'!J4:J32873,"=Dışsal",'[7]TABLO-1'!K4:K32873,"=Bildirimsiz",'[7]TABLO-1'!I4:I32873,"=Uzun",'[7]TABLO-1'!D4:D32873,"=KAPAKLI")/P8</f>
        <v>0</v>
      </c>
      <c r="K9" s="10">
        <f>SUMIFS('[7]TABLO-1'!Z4:Z32873,'[7]TABLO-1'!H4:H32873,"=Dağıtım-OG",'[7]TABLO-1'!J4:J32873,"=Dışsal",'[7]TABLO-1'!K4:K32873,"=Bildirimsiz",'[7]TABLO-1'!I4:I32873,"=Uzun",'[7]TABLO-1'!D4:D32873,"=KAPAKLI")/P14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228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Sebep",'[7]TABLO-1'!K4:K32873,"=Bildirimsiz",'[7]TABLO-1'!I4:I32873,"=Uzun",'[7]TABLO-1'!D4:D32873,"=KAPAKLI")/P6</f>
        <v>0</v>
      </c>
      <c r="E10" s="10">
        <f>SUMIFS('[7]TABLO-1'!V4:V32873,'[7]TABLO-1'!H4:H32873,"=Dağıtım-OG",'[7]TABLO-1'!J4:J32873,"=Mücbir Sebep",'[7]TABLO-1'!K4:K32873,"=Bildirimsiz",'[7]TABLO-1'!I4:I32873,"=Uzun",'[7]TABLO-1'!D4:D32873,"=KAPAKLI")/P12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Sebep",'[7]TABLO-1'!K4:K32873,"=Bildirimsiz",'[7]TABLO-1'!I4:I32873,"=Uzun",'[7]TABLO-1'!D4:D32873,"=KAPAKLI")/P7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Sebep",'[7]TABLO-1'!K4:K32873,"=Bildirimsiz",'[7]TABLO-1'!I4:I32873,"=Uzun",'[7]TABLO-1'!D4:D32873,"=KAPAKLI")/P13</f>
        <v>#DIV/0!</v>
      </c>
      <c r="I10" s="10" t="str">
        <f t="shared" si="1"/>
        <v>0,00</v>
      </c>
      <c r="J10" s="10">
        <f>SUMIFS('[7]TABLO-1'!Y4:Y32873,'[7]TABLO-1'!H4:H32873,"=Dağıtım-OG",'[7]TABLO-1'!J4:J32873,"=Mücbir Sebep",'[7]TABLO-1'!K4:K32873,"=Bildirimsiz",'[7]TABLO-1'!I4:I32873,"=Uzun",'[7]TABLO-1'!D4:D32873,"=KAPAKLI")/P8</f>
        <v>0</v>
      </c>
      <c r="K10" s="10">
        <f>SUMIFS('[7]TABLO-1'!Z4:Z32873,'[7]TABLO-1'!H4:H32873,"=Dağıtım-OG",'[7]TABLO-1'!J4:J32873,"=Mücbir Sebep",'[7]TABLO-1'!K4:K32873,"=Bildirimsiz",'[7]TABLO-1'!I4:I32873,"=Uzun",'[7]TABLO-1'!D4:D32873,"=KAPAKLI")/P14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SUMIFS('[7]TABLO-1'!U4:U32873,'[7]TABLO-1'!H4:H32873,"=Dağıtım-OG",'[7]TABLO-1'!J4:J32873,"=Güvenlik",'[7]TABLO-1'!K4:K32873,"=Bildirimsiz",'[7]TABLO-1'!I4:I32873,"=Uzun",'[7]TABLO-1'!D4:D32873,"=KAPAKLI")/P6</f>
        <v>0</v>
      </c>
      <c r="E11" s="10">
        <f>SUMIFS('[7]TABLO-1'!V4:V32873,'[7]TABLO-1'!H4:H32873,"=Dağıtım-OG",'[7]TABLO-1'!J4:J32873,"=Güvenlik",'[7]TABLO-1'!K4:K32873,"=Bildirimsiz",'[7]TABLO-1'!I4:I32873,"=Uzun",'[7]TABLO-1'!D4:D32873,"=KAPAKLI")/P12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SUMIFS('[7]TABLO-1'!W4:W32873,'[7]TABLO-1'!H4:H32873,"=Dağıtım-OG",'[7]TABLO-1'!J4:J32873,"=Güvenlik",'[7]TABLO-1'!K4:K32873,"=Bildirimsiz",'[7]TABLO-1'!I4:I32873,"=Uzun",'[7]TABLO-1'!D4:D32873,"=KAPAKLI")/P7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SUMIFS('[7]TABLO-1'!X4:X32873,'[7]TABLO-1'!H4:H32873,"=Dağıtım-OG",'[7]TABLO-1'!J4:J32873,"=Güvenlik",'[7]TABLO-1'!K4:K32873,"=Bildirimsiz",'[7]TABLO-1'!I4:I32873,"=Uzun",'[7]TABLO-1'!D4:D32873,"=KAPAKLI")/P13</f>
        <v>#DIV/0!</v>
      </c>
      <c r="I11" s="10" t="str">
        <f t="shared" si="1"/>
        <v>0,00</v>
      </c>
      <c r="J11" s="10">
        <f>SUMIFS('[7]TABLO-1'!Y4:Y32873,'[7]TABLO-1'!H4:H32873,"=Dağıtım-OG",'[7]TABLO-1'!J4:J32873,"=Güvenlik",'[7]TABLO-1'!K4:K32873,"=Bildirimsiz",'[7]TABLO-1'!I4:I32873,"=Uzun",'[7]TABLO-1'!D4:D32873,"=KAPAKLI")/P8</f>
        <v>0</v>
      </c>
      <c r="K11" s="10">
        <f>SUMIFS('[7]TABLO-1'!Z4:Z32873,'[7]TABLO-1'!H4:H32873,"=Dağıtım-OG",'[7]TABLO-1'!J4:J32873,"=Güvenlik",'[7]TABLO-1'!K4:K32873,"=Bildirimsiz",'[7]TABLO-1'!I4:I32873,"=Uzun",'[7]TABLO-1'!D4:D32873,"=KAPAKLI")/P14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İşletmecisi",'[7]TABLO-1'!K4:K32873,"=Bildirimsiz",'[7]TABLO-1'!I4:I32873,"=Uzun",'[7]TABLO-1'!D4:D32873,"=KAPAKLI")/P6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işletmecisi",'[7]TABLO-1'!K4:K32873,"=Bildirimsiz",'[7]TABLO-1'!I4:I32873,"=Uzun",'[7]TABLO-1'!D4:D32873,"=KAPAKLI")/P12</f>
        <v>5.1984998372195852</v>
      </c>
      <c r="F12" s="10">
        <f t="shared" si="0"/>
        <v>5.1809410786786314</v>
      </c>
      <c r="G12" s="12" t="e">
        <f>SUMIFS('[7]TABLO-1'!W4:W32873,'[7]TABLO-1'!H4:H32873,"=Dağıtım-AG",'[7]TABLO-1'!J4:J32873,"=Şebeke İşletmecisi",'[7]TABLO-1'!K4:K32873,"=Bildirimsiz",'[7]TABLO-1'!I4:I32873,"=Uzun",'[7]TABLO-1'!D4:D32873,"=KAPAKLI")/P7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İşletmecisi",'[7]TABLO-1'!K4:K32873,"=Bildirimsiz",'[7]TABLO-1'!I4:I32873,"=Uzun",'[7]TABLO-1'!D4:D32873,"=KAPAKLI")/P13</f>
        <v>#DIV/0!</v>
      </c>
      <c r="I12" s="10" t="str">
        <f t="shared" si="1"/>
        <v>0,00</v>
      </c>
      <c r="J12" s="12">
        <f>SUMIFS('[7]TABLO-1'!Y4:Y32873,'[7]TABLO-1'!H4:H32873,"=Dağıtım-AG",'[7]TABLO-1'!J4:J32873,"=Şebeke İşletmecisi",'[7]TABLO-1'!K4:K32873,"=Bildirimsiz",'[7]TABLO-1'!I4:I32873,"=Uzun",'[7]TABLO-1'!D4:D32873,"=KAPAKLI")/P8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İşletmecisi",'[7]TABLO-1'!K4:K32873,"=Bildirimsiz",'[7]TABLO-1'!I4:I32873,"=Uzun",'[7]TABLO-1'!D4:D32873,"=KAPAKLI")/P14</f>
        <v>0</v>
      </c>
      <c r="L12" s="10">
        <f t="shared" si="2"/>
        <v>0</v>
      </c>
      <c r="M12" s="11">
        <f t="shared" si="3"/>
        <v>5.1512371732430484</v>
      </c>
      <c r="O12" s="6" t="s">
        <v>33</v>
      </c>
      <c r="P12" s="42">
        <v>65504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SUMIFS('[7]TABLO-1'!U4:U32873,'[7]TABLO-1'!H4:H32873,"=Dağıtım-AG",'[7]TABLO-1'!J4:J32873,"=Dışsal",'[7]TABLO-1'!K4:K32873,"=Bildirimsiz",'[7]TABLO-1'!I4:I32873,"=Uzun",'[7]TABLO-1'!D4:D32873,"=KAPAKLI")/P6</f>
        <v>0</v>
      </c>
      <c r="E13" s="10">
        <f>SUMIFS('[7]TABLO-1'!V4:V32873,'[7]TABLO-1'!H4:H32873,"=Dağıtım-AG",'[7]TABLO-1'!J4:J32873,"=Dışsal",'[7]TABLO-1'!K4:K32873,"=Bildirimsiz",'[7]TABLO-1'!I4:I32873,"=Uzun",'[7]TABLO-1'!D4:D32873,"=KAPAKLI")/P12</f>
        <v>0.21057645334292835</v>
      </c>
      <c r="F13" s="10">
        <f t="shared" si="0"/>
        <v>0.2098651979395548</v>
      </c>
      <c r="G13" s="12" t="e">
        <f>SUMIFS('[7]TABLO-1'!W4:W32873,'[7]TABLO-1'!H4:H32873,"=Dağıtım-AG",'[7]TABLO-1'!J4:J32873,"=Dışsal",'[7]TABLO-1'!K4:K32873,"=Bildirimsiz",'[7]TABLO-1'!I4:I32873,"=Uzun",'[7]TABLO-1'!D4:D32873,"=KAPAKLI")/P7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SUMIFS('[7]TABLO-1'!X4:X32873,'[7]TABLO-1'!H4:H32873,"=Dağıtım-AG",'[7]TABLO-1'!J4:J32873,"=Dışsal",'[7]TABLO-1'!K4:K32873,"=Bildirimsiz",'[7]TABLO-1'!I4:I32873,"=Uzun",'[7]TABLO-1'!D4:D32873,"=KAPAKLI")/P13</f>
        <v>#DIV/0!</v>
      </c>
      <c r="I13" s="10" t="str">
        <f t="shared" si="1"/>
        <v>0,00</v>
      </c>
      <c r="J13" s="12">
        <f>SUMIFS('[7]TABLO-1'!Y4:Y32873,'[7]TABLO-1'!H4:H32873,"=Dağıtım-AG",'[7]TABLO-1'!J4:J32873,"=Dışsal",'[7]TABLO-1'!K4:K32873,"=Bildirimsiz",'[7]TABLO-1'!I4:I32873,"=Uzun",'[7]TABLO-1'!D4:D32873,"=KAPAKLI")/P8</f>
        <v>0</v>
      </c>
      <c r="K13" s="10">
        <f>SUMIFS('[7]TABLO-1'!Z4:Z32873,'[7]TABLO-1'!H4:H32873,"=Dağıtım-AG",'[7]TABLO-1'!J4:J32873,"=Dışsal",'[7]TABLO-1'!K4:K32873,"=Bildirimsiz",'[7]TABLO-1'!I4:I32873,"=Uzun",'[7]TABLO-1'!D4:D32873,"=KAPAKLI")/P14</f>
        <v>0</v>
      </c>
      <c r="L13" s="10">
        <f t="shared" si="2"/>
        <v>0</v>
      </c>
      <c r="M13" s="11">
        <f t="shared" si="3"/>
        <v>0.20866197715415141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Sebep",'[7]TABLO-1'!K4:K32873,"=Bildirimsiz",'[7]TABLO-1'!I4:I32873,"=Uzun",'[7]TABLO-1'!D4:D32873,"=KAPAKLI")/P6</f>
        <v>0</v>
      </c>
      <c r="E14" s="10">
        <f>SUMIFS('[7]TABLO-1'!V4:V32873,'[7]TABLO-1'!H4:H32873,"=Dağıtım-AG",'[7]TABLO-1'!J4:J32873,"=Mücbir Sebep",'[7]TABLO-1'!K4:K32873,"=Bildirimsiz",'[7]TABLO-1'!I4:I32873,"=Uzun",'[7]TABLO-1'!D4:D32873,"=KAPAKLI")/P12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Sebep",'[7]TABLO-1'!K4:K32873,"=Bildirimsiz",'[7]TABLO-1'!I4:I32873,"=Uzun",'[7]TABLO-1'!D4:D32873,"=KAPAKLI")/P7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Sebep",'[7]TABLO-1'!K4:K32873,"=Bildirimsiz",'[7]TABLO-1'!I4:I32873,"=Uzun",'[7]TABLO-1'!D4:D32873,"=KAPAKLI")/P13</f>
        <v>#DIV/0!</v>
      </c>
      <c r="I14" s="10" t="str">
        <f t="shared" si="1"/>
        <v>0,00</v>
      </c>
      <c r="J14" s="12">
        <f>SUMIFS('[7]TABLO-1'!Y4:Y32873,'[7]TABLO-1'!H4:H32873,"=Dağıtım-AG",'[7]TABLO-1'!J4:J32873,"=Mücbir Sebep",'[7]TABLO-1'!K4:K32873,"=Bildirimsiz",'[7]TABLO-1'!I4:I32873,"=Uzun",'[7]TABLO-1'!D4:D32873,"=KAPAKLI")/P8</f>
        <v>0</v>
      </c>
      <c r="K14" s="10">
        <f>SUMIFS('[7]TABLO-1'!Z4:Z32873,'[7]TABLO-1'!H4:H32873,"=Dağıtım-AG",'[7]TABLO-1'!J4:J32873,"=Mücbir Sebep",'[7]TABLO-1'!K4:K32873,"=Bildirimsiz",'[7]TABLO-1'!I4:I32873,"=Uzun",'[7]TABLO-1'!D4:D32873,"=KAPAKLI")/P14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373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SUMIFS('[7]TABLO-1'!U4:U32873,'[7]TABLO-1'!H4:H32873,"=Dağıtım-AG",'[7]TABLO-1'!J4:J32873,"=Güvenlik",'[7]TABLO-1'!K4:K32873,"=Bildirimsiz",'[7]TABLO-1'!I4:I32873,"=Uzun",'[7]TABLO-1'!D4:D32873,"=KAPAKLI")/P6</f>
        <v>0</v>
      </c>
      <c r="E15" s="10">
        <f>SUMIFS('[7]TABLO-1'!V4:V32873,'[7]TABLO-1'!H4:H32873,"=Dağıtım-AG",'[7]TABLO-1'!J4:J32873,"=Güvenlik",'[7]TABLO-1'!K4:K32873,"=Bildirimsiz",'[7]TABLO-1'!I4:I32873,"=Uzun",'[7]TABLO-1'!D4:D32873,"=KAPAKLI")/P12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SUMIFS('[7]TABLO-1'!W4:W32873,'[7]TABLO-1'!H4:H32873,"=Dağıtım-AG",'[7]TABLO-1'!J4:J32873,"=Güvenlik",'[7]TABLO-1'!K4:K32873,"=Bildirimsiz",'[7]TABLO-1'!I4:I32873,"=Uzun",'[7]TABLO-1'!D4:D32873,"=KAPAKLI")/P7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SUMIFS('[7]TABLO-1'!X4:X32873,'[7]TABLO-1'!H4:H32873,"=Dağıtım-AG",'[7]TABLO-1'!J4:J32873,"=Güvenlik",'[7]TABLO-1'!K4:K32873,"=Bildirimsiz",'[7]TABLO-1'!I4:I32873,"=Uzun",'[7]TABLO-1'!D4:D32873,"=KAPAKLI")/P13</f>
        <v>#DIV/0!</v>
      </c>
      <c r="I15" s="10" t="str">
        <f t="shared" si="1"/>
        <v>0,00</v>
      </c>
      <c r="J15" s="12">
        <f>SUMIFS('[7]TABLO-1'!Y4:Y32873,'[7]TABLO-1'!H4:H32873,"=Dağıtım-AG",'[7]TABLO-1'!J4:J32873,"=Güvenlik",'[7]TABLO-1'!K4:K32873,"=Bildirimsiz",'[7]TABLO-1'!I4:I32873,"=Uzun",'[7]TABLO-1'!D4:D32873,"=KAPAKLI")/P8</f>
        <v>0</v>
      </c>
      <c r="K15" s="10">
        <f>SUMIFS('[7]TABLO-1'!Z4:Z32873,'[7]TABLO-1'!H4:H32873,"=Dağıtım-AG",'[7]TABLO-1'!J4:J32873,"=Güvenlik",'[7]TABLO-1'!K4:K32873,"=Bildirimsiz",'[7]TABLO-1'!I4:I32873,"=Uzun",'[7]TABLO-1'!D4:D32873,"=KAPAKLI")/P14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65877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29.193918919411011</v>
      </c>
      <c r="E16" s="10">
        <f t="shared" si="4"/>
        <v>34.484630455085004</v>
      </c>
      <c r="F16" s="10">
        <f t="shared" si="4"/>
        <v>34.466760236892519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>
        <f>SUM(J6:J15)</f>
        <v>20.311111105838791</v>
      </c>
      <c r="K16" s="10">
        <f>SUM(K6:K15)</f>
        <v>58.183467368203296</v>
      </c>
      <c r="L16" s="10">
        <f>SUM(L6:L15)</f>
        <v>57.583904999933672</v>
      </c>
      <c r="M16" s="11">
        <f t="shared" si="4"/>
        <v>34.599297834127107</v>
      </c>
    </row>
    <row r="17" spans="2:16" ht="15" customHeight="1" x14ac:dyDescent="0.25">
      <c r="B17" s="29"/>
      <c r="O17" s="50" t="s">
        <v>37</v>
      </c>
      <c r="P17" s="47">
        <f>P6+P12</f>
        <v>65726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İşletmecisi",'[7]TABLO-1'!K4:K32873,"=Bildirimli",'[7]TABLO-1'!I4:I32873,"=Uzun",'[7]TABLO-1'!D4:D32873,"=KAPAKLI")/P6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İşletmecisi",'[7]TABLO-1'!K4:K32873,"=Bildirimli",'[7]TABLO-1'!I4:I32873,"=Uzun",'[7]TABLO-1'!D4:D32873,"=KAPAKLI")/P12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İşletmecisi",'[7]TABLO-1'!K4:K32873,"=Bildirimli",'[7]TABLO-1'!I4:I32873,"=Uzun",'[7]TABLO-1'!D4:D32873,"=KAPAKLI")/P7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İşletmecisi",'[7]TABLO-1'!K4:K32873,"=Bildirimli",'[7]TABLO-1'!I4:I32873,"=Uzun",'[7]TABLO-1'!D4:D32873,"=KAPAKLI")/P13</f>
        <v>#DIV/0!</v>
      </c>
      <c r="I21" s="10" t="str">
        <f>IFERROR((((G21*$P$7)+(H21*$P$13))/$P$20),"0,00")</f>
        <v>0,00</v>
      </c>
      <c r="J21" s="10">
        <f>SUMIFS('[7]TABLO-1'!Y4:Y32873,'[7]TABLO-1'!H4:H32873,"=İletim",'[7]TABLO-1'!J4:J32873,"=Şebeke İşletmecisi",'[7]TABLO-1'!K4:K32873,"=Bildirimli",'[7]TABLO-1'!I4:I32873,"=Uzun",'[7]TABLO-1'!D4:D32873,"=KAPAKLI")/P8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İşletmecisi",'[7]TABLO-1'!K4:K32873,"=Bildirimli",'[7]TABLO-1'!I4:I32873,"=Uzun",'[7]TABLO-1'!D4:D32873,"=KAPAKLI")/P14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İşletmecisi",'[7]TABLO-1'!K4:K32873,"=Bildirimli",'[7]TABLO-1'!I4:I32873,"=Uzun",'[7]TABLO-1'!D4:D32873,"=KAPAKLI")/P6</f>
        <v>107.23881381084023</v>
      </c>
      <c r="E22" s="10">
        <f>SUMIFS('[7]TABLO-1'!V4:V32873,'[7]TABLO-1'!H4:H32873,"=Dağıtım-OG",'[7]TABLO-1'!J4:J32873,"=Şebeke İşletmecisi",'[7]TABLO-1'!K4:K32873,"=Bildirimli",'[7]TABLO-1'!I4:I32873,"=Uzun",'[7]TABLO-1'!D4:D32873,"=KAPAKLI")/P12</f>
        <v>12.471450598464211</v>
      </c>
      <c r="F22" s="10">
        <f t="shared" ref="F22:F25" si="5">IFERROR((((D22*$P$6)+(E22*$P$12))/$P$17),"0,00")</f>
        <v>12.791542413471172</v>
      </c>
      <c r="G22" s="10" t="e">
        <f>SUMIFS('[7]TABLO-1'!W4:W32873,'[7]TABLO-1'!H4:H32873,"=Dağıtım-OG",'[7]TABLO-1'!J4:J32873,"=Şebeke İşletmecisi",'[7]TABLO-1'!K4:K32873,"=Bildirimli",'[7]TABLO-1'!I4:I32873,"=Uzun",'[7]TABLO-1'!D4:D32873,"=KAPAKLI")/P7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İşletmecisi",'[7]TABLO-1'!K4:K32873,"=Bildirimli",'[7]TABLO-1'!I4:I32873,"=Uzun",'[7]TABLO-1'!D4:D32873,"=KAPAKLI")/P13</f>
        <v>#DIV/0!</v>
      </c>
      <c r="I22" s="10" t="str">
        <f t="shared" ref="I22:I25" si="6">IFERROR((((G22*$P$7)+(H22*$P$13))/$P$20),"0,00")</f>
        <v>0,00</v>
      </c>
      <c r="J22" s="10">
        <f>SUMIFS('[7]TABLO-1'!Y4:Y32873,'[7]TABLO-1'!H4:H32873,"=Dağıtım-OG",'[7]TABLO-1'!J4:J32873,"=Şebeke İşletmecisi",'[7]TABLO-1'!K4:K32873,"=Bildirimli",'[7]TABLO-1'!I4:I32873,"=Uzun",'[7]TABLO-1'!D4:D32873,"=KAPAKLI")/P8</f>
        <v>0</v>
      </c>
      <c r="K22" s="10">
        <f>SUMIFS('[7]TABLO-1'!Z4:Z32873,'[7]TABLO-1'!H4:H32873,"=Dağıtım-OG",'[7]TABLO-1'!J4:J32873,"=Şebeke İşletmecisi",'[7]TABLO-1'!K4:K32873,"=Bildirimli",'[7]TABLO-1'!I4:I32873,"=Uzun",'[7]TABLO-1'!D4:D32873,"=KAPAKLI")/P14</f>
        <v>0.91581769435524185</v>
      </c>
      <c r="L22" s="10">
        <f t="shared" ref="L22:L25" si="7">IFERROR((((J22*$P$8)+(K22*$P$14))/$P$23),"0,00")</f>
        <v>0.90131926119922212</v>
      </c>
      <c r="M22" s="11">
        <f t="shared" ref="M22:M25" si="8">IFERROR((((F22*$P$17)+(I22*$P$20)+(L22*$P$23))/$P$26),"0,00")</f>
        <v>12.723372160468962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SUMIFS('[7]TABLO-1'!U4:U32873,'[7]TABLO-1'!H4:H32873,"=Dağıtım-OG",'[7]TABLO-1'!J4:J32873,"=Güvenlik",'[7]TABLO-1'!K4:K32873,"=Bildirimli",'[7]TABLO-1'!I4:I32873,"=Uzun",'[7]TABLO-1'!D4:D32873,"=KAPAKLI")/P6</f>
        <v>0</v>
      </c>
      <c r="E23" s="10">
        <f>SUMIFS('[7]TABLO-1'!V4:V32873,'[7]TABLO-1'!H4:H32873,"=Dağıtım-OG",'[7]TABLO-1'!J4:J32873,"=Güvenlik",'[7]TABLO-1'!K4:K32873,"=Bildirimli",'[7]TABLO-1'!I4:I32873,"=Uzun",'[7]TABLO-1'!D4:D32873,"=KAPAKLI")/P12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SUMIFS('[7]TABLO-1'!W4:W32873,'[7]TABLO-1'!H4:H32873,"=Dağıtım-OG",'[7]TABLO-1'!J4:J32873,"=Güvenlik",'[7]TABLO-1'!K4:K32873,"=Bildirimli",'[7]TABLO-1'!I4:I32873,"=Uzun",'[7]TABLO-1'!D4:D32873,"=KAPAKLI")/P7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SUMIFS('[7]TABLO-1'!X4:X32873,'[7]TABLO-1'!H4:H32873,"=Dağıtım-OG",'[7]TABLO-1'!J4:J32873,"=Güvenlik",'[7]TABLO-1'!K4:K32873,"=Bildirimli",'[7]TABLO-1'!I4:I32873,"=Uzun",'[7]TABLO-1'!D4:D32873,"=KAPAKLI")/P13</f>
        <v>#DIV/0!</v>
      </c>
      <c r="I23" s="10" t="str">
        <f t="shared" si="6"/>
        <v>0,00</v>
      </c>
      <c r="J23" s="10">
        <f>SUMIFS('[7]TABLO-1'!Y4:Y32873,'[7]TABLO-1'!H4:H32873,"=Dağıtım-OG",'[7]TABLO-1'!J4:J32873,"=Güvenlik",'[7]TABLO-1'!K4:K32873,"=Bildirimli",'[7]TABLO-1'!I4:I32873,"=Uzun",'[7]TABLO-1'!D4:D32873,"=KAPAKLI")/P8</f>
        <v>0</v>
      </c>
      <c r="K23" s="10">
        <f>SUMIFS('[7]TABLO-1'!Z4:Z32873,'[7]TABLO-1'!H4:H32873,"=Dağıtım-OG",'[7]TABLO-1'!J4:J32873,"=Güvenlik",'[7]TABLO-1'!K4:K32873,"=Bildirimli",'[7]TABLO-1'!I4:I32873,"=Uzun",'[7]TABLO-1'!D4:D32873,"=KAPAKLI")/P14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379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İşletmecisi",'[7]TABLO-1'!K4:K32873,"=Bildirimli",'[7]TABLO-1'!I4:I32873,"=Uzun",'[7]TABLO-1'!D4:D32873,"=KAPAKLI")/P6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İşletmecisi",'[7]TABLO-1'!K4:K32873,"=Bildirimli",'[7]TABLO-1'!I4:I32873,"=Uzun",'[7]TABLO-1'!D4:D32873,"=KAPAKLI")/P12</f>
        <v>0.17396647533075321</v>
      </c>
      <c r="F24" s="10">
        <f t="shared" si="5"/>
        <v>0.17337887594050541</v>
      </c>
      <c r="G24" s="12" t="e">
        <f>SUMIFS('[7]TABLO-1'!W4:W32873,'[7]TABLO-1'!H4:H32873,"=Dağıtım-AG",'[7]TABLO-1'!J4:J32873,"=Şebeke İşletmecisi",'[7]TABLO-1'!K4:K32873,"=Bildirimli",'[7]TABLO-1'!I4:I32873,"=Uzun",'[7]TABLO-1'!D4:D32873,"=KAPAKLI")/P7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İşletmecisi",'[7]TABLO-1'!K4:K32873,"=Bildirimli",'[7]TABLO-1'!I4:I32873,"=Uzun",'[7]TABLO-1'!D4:D32873,"=KAPAKLI")/P13</f>
        <v>#DIV/0!</v>
      </c>
      <c r="I24" s="10" t="str">
        <f t="shared" si="6"/>
        <v>0,00</v>
      </c>
      <c r="J24" s="12">
        <f>SUMIFS('[7]TABLO-1'!Y4:Y32873,'[7]TABLO-1'!H4:H32873,"=Dağıtım-AG",'[7]TABLO-1'!J4:J32873,"=Şebeke İşletmecisi",'[7]TABLO-1'!K4:K32873,"=Bildirimli",'[7]TABLO-1'!I4:I32873,"=Uzun",'[7]TABLO-1'!D4:D32873,"=KAPAKLI")/P8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İşletmecisi",'[7]TABLO-1'!K4:K32873,"=Bildirimli",'[7]TABLO-1'!I4:I32873,"=Uzun",'[7]TABLO-1'!D4:D32873,"=KAPAKLI")/P14</f>
        <v>0</v>
      </c>
      <c r="L24" s="10">
        <f t="shared" si="7"/>
        <v>0</v>
      </c>
      <c r="M24" s="11">
        <f t="shared" si="8"/>
        <v>0.17238484229733997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SUMIFS('[7]TABLO-1'!U4:U32873,'[7]TABLO-1'!H4:H32873,"=Dağıtım-AG",'[7]TABLO-1'!J4:J32873,"=Güvenlik",'[7]TABLO-1'!K4:K32873,"=Bildirimli",'[7]TABLO-1'!I4:I32873,"=Uzun",'[7]TABLO-1'!D4:D32873,"=KAPAKLI")/P6</f>
        <v>0</v>
      </c>
      <c r="E25" s="10">
        <f>SUMIFS('[7]TABLO-1'!V4:V32873,'[7]TABLO-1'!H4:H32873,"=Dağıtım-AG",'[7]TABLO-1'!J4:J32873,"=Güvenlik",'[7]TABLO-1'!K4:K32873,"=Bildirimli",'[7]TABLO-1'!I4:I32873,"=Uzun",'[7]TABLO-1'!D4:D32873,"=KAPAKLI")/P12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SUMIFS('[7]TABLO-1'!W4:W32873,'[7]TABLO-1'!H4:H32873,"=Dağıtım-AG",'[7]TABLO-1'!J4:J32873,"=Güvenlik",'[7]TABLO-1'!K4:K32873,"=Bildirimli",'[7]TABLO-1'!I4:I32873,"=Uzun",'[7]TABLO-1'!D4:D32873,"=KAPAKLI")/P7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SUMIFS('[7]TABLO-1'!X4:X32873,'[7]TABLO-1'!H4:H32873,"=Dağıtım-AG",'[7]TABLO-1'!J4:J32873,"=Güvenlik",'[7]TABLO-1'!K4:K32873,"=Bildirimli",'[7]TABLO-1'!I4:I32873,"=Uzun",'[7]TABLO-1'!D4:D32873,"=KAPAKLI")/P13</f>
        <v>#DIV/0!</v>
      </c>
      <c r="I25" s="10" t="str">
        <f t="shared" si="6"/>
        <v>0,00</v>
      </c>
      <c r="J25" s="12">
        <f>SUMIFS('[7]TABLO-1'!Y4:Y32873,'[7]TABLO-1'!H4:H32873,"=Dağıtım-AG",'[7]TABLO-1'!J4:J32873,"=Güvenlik",'[7]TABLO-1'!K4:K32873,"=Bildirimli",'[7]TABLO-1'!I4:I32873,"=Uzun",'[7]TABLO-1'!D4:D32873,"=KAPAKLI")/P8</f>
        <v>0</v>
      </c>
      <c r="K25" s="10">
        <f>SUMIFS('[7]TABLO-1'!Z4:Z32873,'[7]TABLO-1'!H4:H32873,"=Dağıtım-AG",'[7]TABLO-1'!J4:J32873,"=Güvenlik",'[7]TABLO-1'!K4:K32873,"=Bildirimli",'[7]TABLO-1'!I4:I32873,"=Uzun",'[7]TABLO-1'!D4:D32873,"=KAPAKLI")/P14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107.23881381084023</v>
      </c>
      <c r="E26" s="10">
        <f t="shared" ref="E26:M26" si="9">SUM(E21:E25)</f>
        <v>12.645417073794963</v>
      </c>
      <c r="F26" s="10">
        <f t="shared" si="9"/>
        <v>12.964921289411677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>
        <f t="shared" si="9"/>
        <v>0</v>
      </c>
      <c r="K26" s="10">
        <f t="shared" si="9"/>
        <v>0.91581769435524185</v>
      </c>
      <c r="L26" s="10">
        <f t="shared" si="9"/>
        <v>0.90131926119922212</v>
      </c>
      <c r="M26" s="11">
        <f t="shared" si="9"/>
        <v>12.895757002766302</v>
      </c>
      <c r="O26" s="43" t="s">
        <v>22</v>
      </c>
      <c r="P26" s="44">
        <f>P20+P17+P23</f>
        <v>66105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İşletmecisi",'[7]TABLO-1'!K4:K32873,"=Bildirimsiz",'[7]TABLO-1'!I4:I32873,"=Uzun",'[7]TABLO-1'!D4:D32873,"=KAPAKLI")/P6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İşletmecisi",'[7]TABLO-1'!K4:K32873,"=Bildirimsiz",'[7]TABLO-1'!I4:I32873,"=Uzun",'[7]TABLO-1'!D4:D32873,"=KAPAKLI")/P12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İşletmecisi",'[7]TABLO-1'!K4:K32873,"=Bildirimsiz",'[7]TABLO-1'!I4:I32873,"=Uzun",'[7]TABLO-1'!D4:D32873,"=KAPAKLI")/P7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İşletmecisi",'[7]TABLO-1'!K4:K32873,"=Bildirimsiz",'[7]TABLO-1'!I4:I32873,"=Uzun",'[7]TABLO-1'!D4:D32873,"=KAPAKLI")/P13</f>
        <v>#DIV/0!</v>
      </c>
      <c r="I31" s="10" t="str">
        <f>IFERROR((((G31*$P$7)+(H31*$P$13))/$P$20),"0,00")</f>
        <v>0,00</v>
      </c>
      <c r="J31" s="10">
        <f>SUMIFS('[7]TABLO-1'!S4:S32873,'[7]TABLO-1'!H4:H32873,"=İletim",'[7]TABLO-1'!J4:J32873,"=Şebeke İşletmecisi",'[7]TABLO-1'!K4:K32873,"=Bildirimsiz",'[7]TABLO-1'!I4:I32873,"=Uzun",'[7]TABLO-1'!D4:D32873,"=KAPAKLI")/P8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İşletmecisi",'[7]TABLO-1'!K4:K32873,"=bildirimsiz",'[7]TABLO-1'!I4:I32873,"=Uzun",'[7]TABLO-1'!D4:D32873,"=KAPAKLI")/P14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Sebep",'[7]TABLO-1'!K4:K32873,"=Bildirimsiz",'[7]TABLO-1'!I4:I32873,"=Uzun",'[7]TABLO-1'!D4:D32873,"=KAPAKLI")/P6</f>
        <v>0</v>
      </c>
      <c r="E32" s="10">
        <f>SUMIFS('[7]TABLO-1'!P4:P32873,'[7]TABLO-1'!H4:H32873,"=İletim",'[7]TABLO-1'!J4:J32873,"=Mücbir Sebep",'[7]TABLO-1'!K4:K32873,"=Bildirimsiz",'[7]TABLO-1'!I4:I32873,"=Uzun",'[7]TABLO-1'!D4:D32873,"=KAPAKLI")/P12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Sebep",'[7]TABLO-1'!K4:K32873,"=Bildirimsiz",'[7]TABLO-1'!I4:I32873,"=Uzun",'[7]TABLO-1'!D4:D32873,"=KAPAKLI")/P7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Sebep",'[7]TABLO-1'!K4:K32873,"=Bildirimsiz",'[7]TABLO-1'!I4:I32873,"=Uzun",'[7]TABLO-1'!D4:D32873,"=KAPAKLI")/P13</f>
        <v>#DIV/0!</v>
      </c>
      <c r="I32" s="10" t="str">
        <f t="shared" ref="I32:I40" si="11">IFERROR((((G32*$P$7)+(H32*$P$13))/$P$20),"0,00")</f>
        <v>0,00</v>
      </c>
      <c r="J32" s="10">
        <f>SUMIFS('[7]TABLO-1'!S4:S32873,'[7]TABLO-1'!H4:H32873,"=İletim",'[7]TABLO-1'!J4:J32873,"=Mücbir Sebep",'[7]TABLO-1'!K4:K32873,"=Bildirimsiz",'[7]TABLO-1'!I4:I32873,"=Uzun",'[7]TABLO-1'!D4:D32873,"=KAPAKLI")/P8</f>
        <v>0</v>
      </c>
      <c r="K32" s="10">
        <f>SUMIFS('[7]TABLO-1'!T4:T32873,'[7]TABLO-1'!H4:H32873,"=İletim",'[7]TABLO-1'!J4:J32873,"=Mücbir Sebep",'[7]TABLO-1'!K4:K32873,"=bildirimsiz",'[7]TABLO-1'!I4:I32873,"=Uzun",'[7]TABLO-1'!D4:D32873,"=KAPAKLI")/P14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İşletmecisi",'[7]TABLO-1'!K4:K32873,"=Bildirimsiz",'[7]TABLO-1'!I4:I32873,"=Uzun",'[7]TABLO-1'!D4:D32873,"=KAPAKLI")/P6</f>
        <v>0.38288288288288286</v>
      </c>
      <c r="E33" s="10">
        <f>SUMIFS('[7]TABLO-1'!P4:P32873,'[7]TABLO-1'!H4:H32873,"=Dağıtım-OG",'[7]TABLO-1'!J4:J32873,"=Şebeke İşletmecisi",'[7]TABLO-1'!K4:K32873,"=Bildirimsiz",'[7]TABLO-1'!I4:I32873,"=Uzun",'[7]TABLO-1'!D4:D32873,"=KAPAKLI")/P12</f>
        <v>0.46041463116756226</v>
      </c>
      <c r="F33" s="10">
        <f t="shared" si="10"/>
        <v>0.46015275537838907</v>
      </c>
      <c r="G33" s="10" t="e">
        <f>SUMIFS('[7]TABLO-1'!Q4:Q32873,'[7]TABLO-1'!H4:H32873,"=Dağıtım-OG",'[7]TABLO-1'!J4:J32873,"=Şebeke İşletmecisi",'[7]TABLO-1'!K4:K32873,"=Bildirimsiz",'[7]TABLO-1'!I4:I32873,"=Uzun",'[7]TABLO-1'!D4:D32873,"=KAPAKLI")/P7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İşletmecisi",'[7]TABLO-1'!K4:K32873,"=Bildirimsiz",'[7]TABLO-1'!I4:I32873,"=Uzun",'[7]TABLO-1'!D4:D32873,"=KAPAKLI")/P13</f>
        <v>#DIV/0!</v>
      </c>
      <c r="I33" s="10" t="str">
        <f t="shared" si="11"/>
        <v>0,00</v>
      </c>
      <c r="J33" s="10">
        <f>SUMIFS('[7]TABLO-1'!S4:S32873,'[7]TABLO-1'!H4:H32873,"=Dağıtım-OG",'[7]TABLO-1'!J4:J32873,"=Şebeke İşletmecisi",'[7]TABLO-1'!K4:K32873,"=Bildirimsiz",'[7]TABLO-1'!I4:I32873,"=Uzun",'[7]TABLO-1'!D4:D32873,"=KAPAKLI")/P8</f>
        <v>1</v>
      </c>
      <c r="K33" s="10">
        <f>SUMIFS('[7]TABLO-1'!T4:T32873,'[7]TABLO-1'!H4:H32873,"=Dağıtım-OG",'[7]TABLO-1'!J4:J32873,"=Şebeke İşletmecisi",'[7]TABLO-1'!K4:K32873,"=bildirimsiz",'[7]TABLO-1'!I4:I32873,"=Uzun",'[7]TABLO-1'!D4:D32873,"=KAPAKLI")/P14</f>
        <v>2.5683646112600536</v>
      </c>
      <c r="L33" s="10">
        <f t="shared" si="12"/>
        <v>2.5435356200527703</v>
      </c>
      <c r="M33" s="11">
        <f t="shared" si="13"/>
        <v>0.47209742076998712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SUMIFS('[7]TABLO-1'!O4:O32873,'[7]TABLO-1'!H4:H32873,"=Dağıtım-OG",'[7]TABLO-1'!J4:J32873,"=Dışsal",'[7]TABLO-1'!K4:K32873,"=Bildirimsiz",'[7]TABLO-1'!I4:I32873,"=Uzun",'[7]TABLO-1'!D4:D32873,"=KAPAKLI")/P6</f>
        <v>0</v>
      </c>
      <c r="E34" s="10">
        <f>SUMIFS('[7]TABLO-1'!P4:P32873,'[7]TABLO-1'!H4:H32873,"=Dağıtım-OG",'[7]TABLO-1'!J4:J32873,"=Dışsal",'[7]TABLO-1'!K4:K32873,"=Bildirimsiz",'[7]TABLO-1'!I4:I32873,"=Uzun",'[7]TABLO-1'!D4:D32873,"=KAPAKLI")/P12</f>
        <v>0</v>
      </c>
      <c r="F34" s="10">
        <f t="shared" si="10"/>
        <v>0</v>
      </c>
      <c r="G34" s="10" t="e">
        <f>SUMIFS('[7]TABLO-1'!Q4:Q32873,'[7]TABLO-1'!H4:H32873,"=Dağıtım-OG",'[7]TABLO-1'!J4:J32873,"=Dışsal",'[7]TABLO-1'!K4:K32873,"=Bildirimsiz",'[7]TABLO-1'!I4:I32873,"=Uzun",'[7]TABLO-1'!D4:D32873,"=KAPAKLI")/P7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SUMIFS('[7]TABLO-1'!R4:R32873,'[7]TABLO-1'!H4:H32873,"=Dağıtım-OG",'[7]TABLO-1'!J4:J32873,"=Dışsal",'[7]TABLO-1'!K4:K32873,"=Bildirimsiz",'[7]TABLO-1'!I4:I32873,"=Uzun",'[7]TABLO-1'!D4:D32873,"=KAPAKLI")/P13</f>
        <v>#DIV/0!</v>
      </c>
      <c r="I34" s="10" t="str">
        <f t="shared" si="11"/>
        <v>0,00</v>
      </c>
      <c r="J34" s="10">
        <f>SUMIFS('[7]TABLO-1'!S4:S32873,'[7]TABLO-1'!H4:H32873,"=Dağıtım-OG",'[7]TABLO-1'!J4:J32873,"=Dışsal",'[7]TABLO-1'!K4:K32873,"=Bildirimsiz",'[7]TABLO-1'!I4:I32873,"=Uzun",'[7]TABLO-1'!D4:D32873,"=KAPAKLI")/P8</f>
        <v>0</v>
      </c>
      <c r="K34" s="10">
        <f>SUMIFS('[7]TABLO-1'!T4:T32873,'[7]TABLO-1'!H4:H32873,"=Dağıtım-OG",'[7]TABLO-1'!J4:J32873,"=Dışsal",'[7]TABLO-1'!K4:K32873,"=bildirimsiz",'[7]TABLO-1'!I4:I32873,"=Uzun",'[7]TABLO-1'!D4:D32873,"=KAPAKLI")/P14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Sebep",'[7]TABLO-1'!K4:K32873,"=Bildirimsiz",'[7]TABLO-1'!I4:I32873,"=Uzun",'[7]TABLO-1'!D4:D32873,"=KAPAKLI")/P6</f>
        <v>0</v>
      </c>
      <c r="E35" s="10">
        <f>SUMIFS('[7]TABLO-1'!P4:P32873,'[7]TABLO-1'!H4:H32873,"=Dağıtım-OG",'[7]TABLO-1'!J4:J32873,"=Mücbir Sebep",'[7]TABLO-1'!K4:K32873,"=Bildirimsiz",'[7]TABLO-1'!I4:I32873,"=Uzun",'[7]TABLO-1'!D4:D32873,"=KAPAKLI")/P12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Sebep",'[7]TABLO-1'!K4:K32873,"=Bildirimsiz",'[7]TABLO-1'!I4:I32873,"=Uzun",'[7]TABLO-1'!D4:D32873,"=KAPAKLI")/P7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Sebep",'[7]TABLO-1'!K4:K32873,"=Bildirimsiz",'[7]TABLO-1'!I4:I32873,"=Uzun",'[7]TABLO-1'!D4:D32873,"=KAPAKLI")/P13</f>
        <v>#DIV/0!</v>
      </c>
      <c r="I35" s="10" t="str">
        <f t="shared" si="11"/>
        <v>0,00</v>
      </c>
      <c r="J35" s="10">
        <f>SUMIFS('[7]TABLO-1'!S4:S32873,'[7]TABLO-1'!H4:H32873,"=Dağıtım-OG",'[7]TABLO-1'!J4:J32873,"=Mücbir Sebep",'[7]TABLO-1'!K4:K32873,"=Bildirimsiz",'[7]TABLO-1'!I4:I32873,"=Uzun",'[7]TABLO-1'!D4:D32873,"=KAPAKLI")/P8</f>
        <v>0</v>
      </c>
      <c r="K35" s="10">
        <f>SUMIFS('[7]TABLO-1'!T4:T32873,'[7]TABLO-1'!H4:H32873,"=Dağıtım-OG",'[7]TABLO-1'!J4:J32873,"=Mücbir Sebep",'[7]TABLO-1'!K4:K32873,"=bildirimsiz",'[7]TABLO-1'!I4:I32873,"=Uzun",'[7]TABLO-1'!D4:D32873,"=KAPAKLI")/P14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SUMIFS('[7]TABLO-1'!O4:O32873,'[7]TABLO-1'!H4:H32873,"=Dağıtım-OG",'[7]TABLO-1'!J4:J32873,"=Güvenlik",'[7]TABLO-1'!K4:K32873,"=Bildirimsiz",'[7]TABLO-1'!I4:I32873,"=Uzun",'[7]TABLO-1'!D4:D32873,"=KAPAKLI")/P6</f>
        <v>0</v>
      </c>
      <c r="E36" s="10">
        <f>SUMIFS('[7]TABLO-1'!P4:P32873,'[7]TABLO-1'!H4:H32873,"=Dağıtım-OG",'[7]TABLO-1'!J4:J32873,"=Güvenlik",'[7]TABLO-1'!K4:K32873,"=Bildirimsiz",'[7]TABLO-1'!I4:I32873,"=Uzun",'[7]TABLO-1'!D4:D32873,"=KAPAKLI")/P12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SUMIFS('[7]TABLO-1'!Q4:Q32873,'[7]TABLO-1'!H4:H32873,"=Dağıtım-OG",'[7]TABLO-1'!J4:J32873,"=Güvenlik",'[7]TABLO-1'!K4:K32873,"=Bildirimsiz",'[7]TABLO-1'!I4:I32873,"=Uzun",'[7]TABLO-1'!D4:D32873,"=KAPAKLI")/P7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SUMIFS('[7]TABLO-1'!R4:R32873,'[7]TABLO-1'!H4:H32873,"=Dağıtım-OG",'[7]TABLO-1'!J4:J32873,"=Güvenlik",'[7]TABLO-1'!K4:K32873,"=Bildirimsiz",'[7]TABLO-1'!I4:I32873,"=Uzun",'[7]TABLO-1'!D4:D32873,"=KAPAKLI")/P13</f>
        <v>#DIV/0!</v>
      </c>
      <c r="I36" s="10" t="str">
        <f t="shared" si="11"/>
        <v>0,00</v>
      </c>
      <c r="J36" s="10">
        <f>SUMIFS('[7]TABLO-1'!S4:S32873,'[7]TABLO-1'!H4:H32873,"=Dağıtım-OG",'[7]TABLO-1'!J4:J32873,"=Güvenlik",'[7]TABLO-1'!K4:K32873,"=Bildirimsiz",'[7]TABLO-1'!I4:I32873,"=Uzun",'[7]TABLO-1'!D4:D32873,"=KAPAKLI")/P8</f>
        <v>0</v>
      </c>
      <c r="K36" s="10">
        <f>SUMIFS('[7]TABLO-1'!T4:T32873,'[7]TABLO-1'!H4:H32873,"=Dağıtım-OG",'[7]TABLO-1'!J4:J32873,"=Güvenlik",'[7]TABLO-1'!K4:K32873,"=bildirimsiz",'[7]TABLO-1'!I4:I32873,"=Uzun",'[7]TABLO-1'!D4:D32873,"=KAPAKLI")/P14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İşletmecisi",'[7]TABLO-1'!K4:K32873,"=Bildirimsiz",'[7]TABLO-1'!I4:I32873,"=Uzun",'[7]TABLO-1'!D4:D32873,"=KAPAKLI")/P6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İşletmecisi",'[7]TABLO-1'!K4:K32873,"=Bildirimsiz",'[7]TABLO-1'!I4:I32873,"=Uzun",'[7]TABLO-1'!D4:D32873,"=KAPAKLI")/P12</f>
        <v>9.9795432340009774E-2</v>
      </c>
      <c r="F37" s="10">
        <f t="shared" si="10"/>
        <v>9.9458357423241939E-2</v>
      </c>
      <c r="G37" s="12" t="e">
        <f>SUMIFS('[7]TABLO-1'!Q4:Q32873,'[7]TABLO-1'!H4:H32873,"=Dağıtım-AG",'[7]TABLO-1'!J4:J32873,"=Şebeke İşletmecisi",'[7]TABLO-1'!K4:K32873,"=Bildirimsiz",'[7]TABLO-1'!I4:I32873,"=Uzun",'[7]TABLO-1'!D4:D32873,"=KAPAKLI")/P7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İşletmecisi",'[7]TABLO-1'!K4:K32873,"=Bildirimsiz",'[7]TABLO-1'!I4:I32873,"=Uzun",'[7]TABLO-1'!D4:D32873,"=KAPAKLI")/P13</f>
        <v>#DIV/0!</v>
      </c>
      <c r="I37" s="10" t="str">
        <f t="shared" si="11"/>
        <v>0,00</v>
      </c>
      <c r="J37" s="12">
        <f>SUMIFS('[7]TABLO-1'!S4:S32873,'[7]TABLO-1'!H4:H32873,"=Dağıtım-AG",'[7]TABLO-1'!J4:J32873,"=Şebeke İşletmecisi",'[7]TABLO-1'!K4:K32873,"=Bildirimsiz",'[7]TABLO-1'!I4:I32873,"=Uzun",'[7]TABLO-1'!D4:D32873,"=KAPAKLI")/P8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İşletmecisi",'[7]TABLO-1'!K4:K32873,"=bildirimsiz",'[7]TABLO-1'!I4:I32873,"=Uzun",'[7]TABLO-1'!D4:D32873,"=KAPAKLI")/P14</f>
        <v>0</v>
      </c>
      <c r="L37" s="10">
        <f t="shared" si="12"/>
        <v>0</v>
      </c>
      <c r="M37" s="11">
        <f t="shared" si="13"/>
        <v>9.8888132516451094E-2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SUMIFS('[7]TABLO-1'!O4:O32873,'[7]TABLO-1'!H4:H32873,"=Dağıtım-AG",'[7]TABLO-1'!J4:J32873,"=Dışsal",'[7]TABLO-1'!K4:K32873,"=Bildirimsiz",'[7]TABLO-1'!I4:I32873,"=Uzun",'[7]TABLO-1'!D4:D32873,"=KAPAKLI")/P6</f>
        <v>0</v>
      </c>
      <c r="E38" s="10">
        <f>SUMIFS('[7]TABLO-1'!P4:P32873,'[7]TABLO-1'!H4:H32873,"=Dağıtım-AG",'[7]TABLO-1'!J4:J32873,"=Dışsal",'[7]TABLO-1'!K4:K32873,"=Bildirimsiz",'[7]TABLO-1'!I4:I32873,"=Uzun",'[7]TABLO-1'!D4:D32873,"=KAPAKLI")/P12</f>
        <v>5.5721787982413286E-3</v>
      </c>
      <c r="F38" s="10">
        <f t="shared" si="10"/>
        <v>5.5533578796823175E-3</v>
      </c>
      <c r="G38" s="12" t="e">
        <f>SUMIFS('[7]TABLO-1'!Q4:Q32873,'[7]TABLO-1'!H4:H32873,"=Dağıtım-AG",'[7]TABLO-1'!J4:J32873,"=Dışsal",'[7]TABLO-1'!K4:K32873,"=Bildirimsiz",'[7]TABLO-1'!I4:I32873,"=Uzun",'[7]TABLO-1'!D4:D32873,"=KAPAKLI")/P7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SUMIFS('[7]TABLO-1'!R4:R32873,'[7]TABLO-1'!H4:H32873,"=Dağıtım-AG",'[7]TABLO-1'!J4:J32873,"=Dışsal",'[7]TABLO-1'!K4:K32873,"=Bildirimsiz",'[7]TABLO-1'!I4:I32873,"=Uzun",'[7]TABLO-1'!D4:D32873,"=KAPAKLI")/P13</f>
        <v>#DIV/0!</v>
      </c>
      <c r="I38" s="10" t="str">
        <f t="shared" si="11"/>
        <v>0,00</v>
      </c>
      <c r="J38" s="12">
        <f>SUMIFS('[7]TABLO-1'!S4:S32873,'[7]TABLO-1'!H4:H32873,"=Dağıtım-AG",'[7]TABLO-1'!J4:J32873,"=Dışsal",'[7]TABLO-1'!K4:K32873,"=Bildirimsiz",'[7]TABLO-1'!I4:I32873,"=Uzun",'[7]TABLO-1'!D4:D32873,"=KAPAKLI")/P8</f>
        <v>0</v>
      </c>
      <c r="K38" s="10">
        <f>SUMIFS('[7]TABLO-1'!T4:T32873,'[7]TABLO-1'!H4:H32873,"=Dağıtım-AG",'[7]TABLO-1'!J4:J32873,"=Dışsal",'[7]TABLO-1'!K4:K32873,"=bildirimsiz",'[7]TABLO-1'!I4:I32873,"=Uzun",'[7]TABLO-1'!D4:D32873,"=KAPAKLI")/P14</f>
        <v>0</v>
      </c>
      <c r="L38" s="10">
        <f t="shared" si="12"/>
        <v>0</v>
      </c>
      <c r="M38" s="11">
        <f t="shared" si="13"/>
        <v>5.5215187958550793E-3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Sebep",'[7]TABLO-1'!K4:K32873,"=Bildirimsiz",'[7]TABLO-1'!I4:I32873,"=Uzun",'[7]TABLO-1'!D4:D32873,"=KAPAKLI")/P6</f>
        <v>0</v>
      </c>
      <c r="E39" s="10">
        <f>SUMIFS('[7]TABLO-1'!P4:P32873,'[7]TABLO-1'!H4:H32873,"=Dağıtım-AG",'[7]TABLO-1'!J4:J32873,"=Mücbir Sebep",'[7]TABLO-1'!K4:K32873,"=Bildirimsiz",'[7]TABLO-1'!I4:I32873,"=Uzun",'[7]TABLO-1'!D4:D32873,"=KAPAKLI")/P12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Sebep",'[7]TABLO-1'!K4:K32873,"=Bildirimsiz",'[7]TABLO-1'!I4:I32873,"=Uzun",'[7]TABLO-1'!D4:D32873,"=KAPAKLI")/P7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Sebep",'[7]TABLO-1'!K4:K32873,"=Bildirimsiz",'[7]TABLO-1'!I4:I32873,"=Uzun",'[7]TABLO-1'!D4:D32873,"=KAPAKLI")/P13</f>
        <v>#DIV/0!</v>
      </c>
      <c r="I39" s="10" t="str">
        <f t="shared" si="11"/>
        <v>0,00</v>
      </c>
      <c r="J39" s="12">
        <f>SUMIFS('[7]TABLO-1'!S4:S32873,'[7]TABLO-1'!H4:H32873,"=Dağıtım-AG",'[7]TABLO-1'!J4:J32873,"=Mücbir Sebep",'[7]TABLO-1'!K4:K32873,"=Bildirimsiz",'[7]TABLO-1'!I4:I32873,"=Uzun",'[7]TABLO-1'!D4:D32873,"=KAPAKLI")/P8</f>
        <v>0</v>
      </c>
      <c r="K39" s="10">
        <f>SUMIFS('[7]TABLO-1'!T4:T32873,'[7]TABLO-1'!H4:H32873,"=Dağıtım-AG",'[7]TABLO-1'!J4:J32873,"=Mücbir Sebep",'[7]TABLO-1'!K4:K32873,"=bildirimsiz",'[7]TABLO-1'!I4:I32873,"=Uzun",'[7]TABLO-1'!D4:D32873,"=KAPAKLI")/P14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SUMIFS('[7]TABLO-1'!O4:O32873,'[7]TABLO-1'!H4:H32873,"=Dağıtım-AG",'[7]TABLO-1'!J4:J32873,"=Güvenlik",'[7]TABLO-1'!K4:K32873,"=Bildirimsiz",'[7]TABLO-1'!I4:I32873,"=Uzun",'[7]TABLO-1'!D4:D32873,"=KAPAKLI")/P6</f>
        <v>0</v>
      </c>
      <c r="E40" s="10">
        <f>SUMIFS('[7]TABLO-1'!P4:P32873,'[7]TABLO-1'!H4:H32873,"=Dağıtım-AG",'[7]TABLO-1'!J4:J32873,"=Güvenlik",'[7]TABLO-1'!K4:K32873,"=Bildirimsiz",'[7]TABLO-1'!I4:I32873,"=Uzun",'[7]TABLO-1'!D4:D32873,"=KAPAKLI")/P12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SUMIFS('[7]TABLO-1'!Q4:Q32873,'[7]TABLO-1'!H4:H32873,"=Dağıtım-AG",'[7]TABLO-1'!J4:J32873,"=Güvenlik",'[7]TABLO-1'!K4:K32873,"=Bildirimsiz",'[7]TABLO-1'!I4:I32873,"=Uzun",'[7]TABLO-1'!D4:D32873,"=KAPAKLI")/P7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SUMIFS('[7]TABLO-1'!R4:R32873,'[7]TABLO-1'!H4:H32873,"=Dağıtım-AG",'[7]TABLO-1'!J4:J32873,"=Güvenlik",'[7]TABLO-1'!K4:K32873,"=Bildirimsiz",'[7]TABLO-1'!I4:I32873,"=Uzun",'[7]TABLO-1'!D4:D32873,"=KAPAKLI")/P13</f>
        <v>#DIV/0!</v>
      </c>
      <c r="I40" s="10" t="str">
        <f t="shared" si="11"/>
        <v>0,00</v>
      </c>
      <c r="J40" s="12">
        <f>SUMIFS('[7]TABLO-1'!S4:S32873,'[7]TABLO-1'!H4:H32873,"=Dağıtım-AG",'[7]TABLO-1'!J4:J32873,"=Güvenlik",'[7]TABLO-1'!K4:K32873,"=Bildirimsiz",'[7]TABLO-1'!I4:I32873,"=Uzun",'[7]TABLO-1'!D4:D32873,"=KAPAKLI")/P8</f>
        <v>0</v>
      </c>
      <c r="K40" s="10">
        <f>SUMIFS('[7]TABLO-1'!T4:T32873,'[7]TABLO-1'!H4:H32873,"=Dağıtım-AG",'[7]TABLO-1'!J4:J32873,"=Güvenlik",'[7]TABLO-1'!K4:K32873,"=bildirimsiz",'[7]TABLO-1'!I4:I32873,"=Uzun",'[7]TABLO-1'!D4:D32873,"=KAPAKLI")/P14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0.38288288288288286</v>
      </c>
      <c r="E41" s="10">
        <f t="shared" ref="E41:M41" si="14">SUM(E31:E40)</f>
        <v>0.56578224230581342</v>
      </c>
      <c r="F41" s="10">
        <f t="shared" si="14"/>
        <v>0.56516447068131337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>
        <f t="shared" si="14"/>
        <v>1</v>
      </c>
      <c r="K41" s="10">
        <f t="shared" si="14"/>
        <v>2.5683646112600536</v>
      </c>
      <c r="L41" s="10">
        <f t="shared" si="14"/>
        <v>2.5435356200527703</v>
      </c>
      <c r="M41" s="10">
        <f t="shared" si="14"/>
        <v>0.57650707208229324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İşletmecisi",'[7]TABLO-1'!K4:K32873,"=Bildirimli",'[7]TABLO-1'!I4:I32873,"=Uzun",'[7]TABLO-1'!D4:D32873,"=KAPAKLI")/P6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İşletmecisi",'[7]TABLO-1'!K4:K32873,"=Bildirimli",'[7]TABLO-1'!I4:I32873,"=Uzun",'[7]TABLO-1'!D4:D32873,"=KAPAKLI")/P12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İşletmecisi",'[7]TABLO-1'!K4:K32873,"=Bildirimli",'[7]TABLO-1'!I4:I32873,"=Uzun",'[7]TABLO-1'!D4:D32873,"=KAPAKLI")/P7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İşletmecisi",'[7]TABLO-1'!K4:K32873,"=Bildirimli",'[7]TABLO-1'!I4:I32873,"=Uzun",'[7]TABLO-1'!D4:D32873,"=KAPAKLI")/P13</f>
        <v>#DIV/0!</v>
      </c>
      <c r="I46" s="10" t="str">
        <f>IFERROR((((G46*$P$7)+(H46*$P$13))/$P$20),"0,00")</f>
        <v>0,00</v>
      </c>
      <c r="J46" s="10">
        <f>SUMIFS('[7]TABLO-1'!S4:S32873,'[7]TABLO-1'!H4:H32873,"=İletim",'[7]TABLO-1'!J4:J32873,"=Şebeke İşletmecisi",'[7]TABLO-1'!K4:K32873,"=Bildirimli",'[7]TABLO-1'!I4:I32873,"=Uzun",'[7]TABLO-1'!D4:D32873,"=KAPAKLI")/P8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İşletmecisi",'[7]TABLO-1'!K4:K32873,"=bildirimli",'[7]TABLO-1'!I4:I32873,"=Uzun",'[7]TABLO-1'!D4:D32873,"=KAPAKLI")/P14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İşletmecisi",'[7]TABLO-1'!K4:K32873,"=Bildirimli",'[7]TABLO-1'!I4:I32873,"=Uzun",'[7]TABLO-1'!D4:D32873,"=KAPAKLI")/P6</f>
        <v>0.60810810810810811</v>
      </c>
      <c r="E47" s="10">
        <f>SUMIFS('[7]TABLO-1'!P4:P32873,'[7]TABLO-1'!H4:H32873,"=Dağıtım-OG",'[7]TABLO-1'!J4:J32873,"=Şebeke İşletmecisi",'[7]TABLO-1'!K4:K32873,"=Bildirimli",'[7]TABLO-1'!I4:I32873,"=Uzun",'[7]TABLO-1'!D4:D32873,"=KAPAKLI")/P12</f>
        <v>8.0697361993160729E-2</v>
      </c>
      <c r="F47" s="10">
        <f t="shared" ref="F47:F50" si="15">IFERROR((((D47*$P$6)+(E47*$P$12))/$P$17),"0,00")</f>
        <v>8.2478775522624226E-2</v>
      </c>
      <c r="G47" s="10" t="e">
        <f>SUMIFS('[7]TABLO-1'!Q4:Q32873,'[7]TABLO-1'!H4:H32873,"=Dağıtım-OG",'[7]TABLO-1'!J4:J32873,"=Şebeke İşletmecisi",'[7]TABLO-1'!K4:K32873,"=Bildirimli",'[7]TABLO-1'!I4:I32873,"=Uzun",'[7]TABLO-1'!D4:D32873,"=KAPAKLI")/P7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İşletmecisi",'[7]TABLO-1'!K4:K32873,"=Bildirimli",'[7]TABLO-1'!I4:I32873,"=Uzun",'[7]TABLO-1'!D4:D32873,"=KAPAKLI")/P13</f>
        <v>#DIV/0!</v>
      </c>
      <c r="I47" s="10" t="str">
        <f t="shared" ref="I47:I50" si="16">IFERROR((((G47*$P$7)+(H47*$P$13))/$P$20),"0,00")</f>
        <v>0,00</v>
      </c>
      <c r="J47" s="10">
        <f>SUMIFS('[7]TABLO-1'!S4:S32873,'[7]TABLO-1'!H4:H32873,"=Dağıtım-OG",'[7]TABLO-1'!J4:J32873,"=Şebeke İşletmecisi",'[7]TABLO-1'!K4:K32873,"=Bildirimli",'[7]TABLO-1'!I4:I32873,"=Uzun",'[7]TABLO-1'!D4:D32873,"=KAPAKLI")/P8</f>
        <v>0</v>
      </c>
      <c r="K47" s="10">
        <f>SUMIFS('[7]TABLO-1'!T4:T32873,'[7]TABLO-1'!H4:H32873,"=Dağıtım-OG",'[7]TABLO-1'!J4:J32873,"=Şebeke İşletmecisi",'[7]TABLO-1'!K4:K32873,"=bildirimli",'[7]TABLO-1'!I4:I32873,"=Uzun",'[7]TABLO-1'!D4:D32873,"=KAPAKLI")/P14</f>
        <v>5.3619302949061663E-3</v>
      </c>
      <c r="L47" s="10">
        <f t="shared" ref="L47:L50" si="17">IFERROR((((J47*$P$8)+(K47*$P$14))/$P$23),"0,00")</f>
        <v>5.2770448548812663E-3</v>
      </c>
      <c r="M47" s="11">
        <f t="shared" ref="M47:M50" si="18">IFERROR((((F47*$P$17)+(I47*$P$20)+(L47*$P$23))/$P$26),"0,00")</f>
        <v>8.2036154602526279E-2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SUMIFS('[7]TABLO-1'!O4:O32873,'[7]TABLO-1'!H4:H32873,"=Dağıtım-OG",'[7]TABLO-1'!J4:J32873,"=Güvenlik",'[7]TABLO-1'!K4:K32873,"=Bildirimli",'[7]TABLO-1'!I4:I32873,"=Uzun",'[7]TABLO-1'!D4:D32873,"=KAPAKLI")/P6</f>
        <v>0</v>
      </c>
      <c r="E48" s="10">
        <f>SUMIFS('[7]TABLO-1'!P4:P32873,'[7]TABLO-1'!H4:H32873,"=Dağıtım-OG",'[7]TABLO-1'!J4:J32873,"=Güvenlik",'[7]TABLO-1'!K4:K32873,"=Bildirimli",'[7]TABLO-1'!I4:I32873,"=Uzun",'[7]TABLO-1'!D4:D32873,"=KAPAKLI")/P12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SUMIFS('[7]TABLO-1'!Q4:Q32873,'[7]TABLO-1'!H4:H32873,"=Dağıtım-OG",'[7]TABLO-1'!J4:J32873,"=Güvenlik",'[7]TABLO-1'!K4:K32873,"=Bildirimli",'[7]TABLO-1'!I4:I32873,"=Uzun",'[7]TABLO-1'!D4:D32873,"=KAPAKLI")/P7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SUMIFS('[7]TABLO-1'!R4:R32873,'[7]TABLO-1'!H4:H32873,"=Dağıtım-OG",'[7]TABLO-1'!J4:J32873,"=Güvenlik",'[7]TABLO-1'!K4:K32873,"=Bildirimli",'[7]TABLO-1'!I4:I32873,"=Uzun",'[7]TABLO-1'!D4:D32873,"=KAPAKLI")/P13</f>
        <v>#DIV/0!</v>
      </c>
      <c r="I48" s="10" t="str">
        <f t="shared" si="16"/>
        <v>0,00</v>
      </c>
      <c r="J48" s="10">
        <f>SUMIFS('[7]TABLO-1'!S4:S32873,'[7]TABLO-1'!H4:H32873,"=Dağıtım-OG",'[7]TABLO-1'!J4:J32873,"=Güvenlik",'[7]TABLO-1'!K4:K32873,"=Bildirimli",'[7]TABLO-1'!I4:I32873,"=Uzun",'[7]TABLO-1'!D4:D32873,"=KAPAKLI")/P8</f>
        <v>0</v>
      </c>
      <c r="K48" s="10">
        <f>SUMIFS('[7]TABLO-1'!T4:T32873,'[7]TABLO-1'!H4:H32873,"=Dağıtım-OG",'[7]TABLO-1'!J4:J32873,"=Güvenlik",'[7]TABLO-1'!K4:K32873,"=bildirimli",'[7]TABLO-1'!I4:I32873,"=Uzun",'[7]TABLO-1'!D4:D32873,"=KAPAKLI")/P14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İşletmecisi",'[7]TABLO-1'!K4:K32873,"=Bildirimli",'[7]TABLO-1'!I4:I32873,"=Uzun",'[7]TABLO-1'!D4:D32873,"=KAPAKLI")/P6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İşletmecisi",'[7]TABLO-1'!K4:K32873,"=Bildirimli",'[7]TABLO-1'!I4:I32873,"=Uzun",'[7]TABLO-1'!D4:D32873,"=KAPAKLI")/P12</f>
        <v>1.2976306790425012E-3</v>
      </c>
      <c r="F49" s="10">
        <f t="shared" si="15"/>
        <v>1.2932477254054711E-3</v>
      </c>
      <c r="G49" s="12" t="e">
        <f>SUMIFS('[7]TABLO-1'!Q4:Q32873,'[7]TABLO-1'!H4:H32873,"=Dağıtım-AG",'[7]TABLO-1'!J4:J32873,"=Şebeke İşletmecisi",'[7]TABLO-1'!K4:K32873,"=Bildirimli",'[7]TABLO-1'!I4:I32873,"=Uzun",'[7]TABLO-1'!D4:D32873,"=KAPAKLI")/P7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İşletmecisi",'[7]TABLO-1'!K4:K32873,"=Bildirimli",'[7]TABLO-1'!I4:I32873,"=Uzun",'[7]TABLO-1'!D4:D32873,"=KAPAKLI")/P13</f>
        <v>#DIV/0!</v>
      </c>
      <c r="I49" s="10" t="str">
        <f t="shared" si="16"/>
        <v>0,00</v>
      </c>
      <c r="J49" s="12">
        <f>SUMIFS('[7]TABLO-1'!S4:S32873,'[7]TABLO-1'!H4:H32873,"=Dağıtım-AG",'[7]TABLO-1'!J4:J32873,"=Şebeke İşletmecisi",'[7]TABLO-1'!K4:K32873,"=Bildirimli",'[7]TABLO-1'!I4:I32873,"=Uzun",'[7]TABLO-1'!D4:D32873,"=KAPAKLI")/P8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İşletmecisi",'[7]TABLO-1'!K4:K32873,"=bildirimli",'[7]TABLO-1'!I4:I32873,"=Uzun",'[7]TABLO-1'!D4:D32873,"=KAPAKLI")/P14</f>
        <v>0</v>
      </c>
      <c r="L49" s="10">
        <f t="shared" si="17"/>
        <v>0</v>
      </c>
      <c r="M49" s="11">
        <f t="shared" si="18"/>
        <v>1.2858331442402238E-3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SUMIFS('[7]TABLO-1'!O4:O32873,'[7]TABLO-1'!H4:H32873,"=Dağıtım-AG",'[7]TABLO-1'!J4:J32873,"=Güvenlik",'[7]TABLO-1'!K4:K32873,"=Bildirimli",'[7]TABLO-1'!I4:I32873,"=Uzun",'[7]TABLO-1'!D4:D32873,"=KAPAKLI")/P6</f>
        <v>0</v>
      </c>
      <c r="E50" s="10">
        <f>SUMIFS('[7]TABLO-1'!P4:P32873,'[7]TABLO-1'!H4:H32873,"=Dağıtım-AG",'[7]TABLO-1'!J4:J32873,"=Güvenlik",'[7]TABLO-1'!K4:K32873,"=Bildirimli",'[7]TABLO-1'!I4:I32873,"=Uzun",'[7]TABLO-1'!D4:D32873,"=KAPAKLI")/P12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SUMIFS('[7]TABLO-1'!Q4:Q32873,'[7]TABLO-1'!H4:H32873,"=Dağıtım-AG",'[7]TABLO-1'!J4:J32873,"=Güvenlik",'[7]TABLO-1'!K4:K32873,"=Bildirimli",'[7]TABLO-1'!I4:I32873,"=Uzun",'[7]TABLO-1'!D4:D32873,"=KAPAKLI")/P7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SUMIFS('[7]TABLO-1'!R4:R32873,'[7]TABLO-1'!H4:H32873,"=Dağıtım-AG",'[7]TABLO-1'!J4:J32873,"=Güvenlik",'[7]TABLO-1'!K4:K32873,"=Bildirimli",'[7]TABLO-1'!I4:I32873,"=Uzun",'[7]TABLO-1'!D4:D32873,"=KAPAKLI")/P13</f>
        <v>#DIV/0!</v>
      </c>
      <c r="I50" s="10" t="str">
        <f t="shared" si="16"/>
        <v>0,00</v>
      </c>
      <c r="J50" s="12">
        <f>SUMIFS('[7]TABLO-1'!S4:S32873,'[7]TABLO-1'!H4:H32873,"=Dağıtım-AG",'[7]TABLO-1'!J4:J32873,"=Güvenlik",'[7]TABLO-1'!K4:K32873,"=Bildirimli",'[7]TABLO-1'!I4:I32873,"=Uzun",'[7]TABLO-1'!D4:D32873,"=KAPAKLI")/P8</f>
        <v>0</v>
      </c>
      <c r="K50" s="10">
        <f>SUMIFS('[7]TABLO-1'!T4:T32873,'[7]TABLO-1'!H4:H32873,"=Dağıtım-AG",'[7]TABLO-1'!J4:J32873,"=Güvenlik",'[7]TABLO-1'!K4:K32873,"=bildirimli",'[7]TABLO-1'!I4:I32873,"=Uzun",'[7]TABLO-1'!D4:D32873,"=KAPAKLI")/P14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0.60810810810810811</v>
      </c>
      <c r="E51" s="10">
        <f t="shared" ref="E51:M51" si="19">SUM(E46:E50)</f>
        <v>8.1994992672203226E-2</v>
      </c>
      <c r="F51" s="10">
        <f t="shared" si="19"/>
        <v>8.3772023248029695E-2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>
        <f t="shared" si="19"/>
        <v>0</v>
      </c>
      <c r="K51" s="10">
        <f t="shared" si="19"/>
        <v>5.3619302949061663E-3</v>
      </c>
      <c r="L51" s="10">
        <f t="shared" si="19"/>
        <v>5.2770448548812663E-3</v>
      </c>
      <c r="M51" s="10">
        <f t="shared" si="19"/>
        <v>8.3321987746766496E-2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SUMIFS('[7]TABLO-1'!O1:O32873,'[7]TABLO-1'!H1:H32873,"=İletim",'[7]TABLO-1'!K1:K32873,"=Bildirimsiz",'[7]TABLO-1'!I1:I32873,"=Kısa",'[7]TABLO-1'!D1:D32873,"=KAPAKLI")/P6</f>
        <v>0</v>
      </c>
      <c r="D56" s="10">
        <f>SUMIFS('[7]TABLO-1'!P1:P32873,'[7]TABLO-1'!H1:H32873,"=İletim",'[7]TABLO-1'!K1:K32873,"=Bildirimsiz",'[7]TABLO-1'!I1:I32873,"=Kısa",'[7]TABLO-1'!D1:D32873,"=KAPAKLI")/P12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SUMIFS('[7]TABLO-1'!Q1:Q32873,'[7]TABLO-1'!H1:H32873,"=İletim",'[7]TABLO-1'!K1:K32873,"=Bildirimsiz",'[7]TABLO-1'!I1:I32873,"=Kısa",'[7]TABLO-1'!D1:D32873,"=KAPAKLI")/P7</f>
        <v>#DIV/0!</v>
      </c>
      <c r="G56" s="10" t="e">
        <f>SUMIFS('[7]TABLO-1'!R1:R32873,'[7]TABLO-1'!H1:H32873,"=İletim",'[7]TABLO-1'!K1:K32873,"=Bildirimsiz",'[7]TABLO-1'!I1:I32873,"=Kısa",'[7]TABLO-1'!D1:D32873,"=KAPAKLI")/P13</f>
        <v>#DIV/0!</v>
      </c>
      <c r="H56" s="10" t="str">
        <f>IFERROR((((F56*$P$7)+(G56*$P$13))/$P$20),"0,00")</f>
        <v>0,00</v>
      </c>
      <c r="I56" s="10">
        <f>SUMIFS('[7]TABLO-1'!S1:S32873,'[7]TABLO-1'!H1:H32873,"=İletim",'[7]TABLO-1'!K1:K32873,"=Bildirimsiz",'[7]TABLO-1'!I1:I32873,"=Kısa",'[7]TABLO-1'!D1:D32873,"=KAPAKLI")/P8</f>
        <v>0</v>
      </c>
      <c r="J56" s="10">
        <f>SUMIFS('[7]TABLO-1'!T1:T32873,'[7]TABLO-1'!H1:H32873,"=İletim",'[7]TABLO-1'!K1:K32873,"=Bildirimsiz",'[7]TABLO-1'!I1:I32873,"=Kısa",'[7]TABLO-1'!D1:D32873,"=KAPAKLI")/P14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SUMIFS('[7]TABLO-1'!O4:O32873,'[7]TABLO-1'!H4:H32873,"=Dağıtım-OG",'[7]TABLO-1'!K4:K32873,"=Bildirimsiz",'[7]TABLO-1'!I4:I32873,"=Kısa",'[7]TABLO-1'!D4:D32873,"=KAPAKLI")/P6</f>
        <v>0</v>
      </c>
      <c r="D57" s="10">
        <f>SUMIFS('[7]TABLO-1'!P4:P32873,'[7]TABLO-1'!H4:H32873,"=Dağıtım-OG",'[7]TABLO-1'!K4:K32873,"=Bildirimsiz",'[7]TABLO-1'!I4:I32873,"=Kısa",'[7]TABLO-1'!D4:D32873,"=KAPAKLI")/P12</f>
        <v>0</v>
      </c>
      <c r="E57" s="10">
        <f>IFERROR((((C57*$P$6)+(D57*$P$12))/$P$17),"0,00")</f>
        <v>0</v>
      </c>
      <c r="F57" s="10" t="e">
        <f>SUMIFS('[7]TABLO-1'!Q4:Q32873,'[7]TABLO-1'!H4:H32873,"=Dağıtım-OG",'[7]TABLO-1'!K4:K32873,"=Bildirimsiz",'[7]TABLO-1'!I4:I32873,"=Kısa",'[7]TABLO-1'!D4:D32873,"=KAPAKLI")/P7</f>
        <v>#DIV/0!</v>
      </c>
      <c r="G57" s="10" t="e">
        <f>SUMIFS('[7]TABLO-1'!R4:R32873,'[7]TABLO-1'!H4:H32873,"=Dağıtım-OG",'[7]TABLO-1'!K4:K32873,"=Bildirimsiz",'[7]TABLO-1'!I4:I32873,"=Kısa",'[7]TABLO-1'!D4:D32873,"=KAPAKLI")/P13</f>
        <v>#DIV/0!</v>
      </c>
      <c r="H57" s="10" t="str">
        <f>IFERROR((((F57*$P$7)+(G57*$P$13))/$P$20),"0,00")</f>
        <v>0,00</v>
      </c>
      <c r="I57" s="10">
        <f>SUMIFS('[7]TABLO-1'!S4:S32873,'[7]TABLO-1'!H4:H32873,"=Dağıtım-OG",'[7]TABLO-1'!K4:K32873,"=Bildirimsiz",'[7]TABLO-1'!I4:I32873,"=Kısa",'[7]TABLO-1'!D4:D32873,"=KAPAKLI")/P8</f>
        <v>0</v>
      </c>
      <c r="J57" s="10">
        <f>SUMIFS('[7]TABLO-1'!T4:T32873,'[7]TABLO-1'!H4:H32873,"=Dağıtım-OG",'[7]TABLO-1'!K4:K32873,"=Bildirimsiz",'[7]TABLO-1'!I4:I32873,"=Kısa",'[7]TABLO-1'!D4:D32873,"=KAPAKLI")/P14</f>
        <v>0</v>
      </c>
      <c r="K57" s="10">
        <f>IFERROR((((I57*$P$8)+(J57*$P$14))/$P$23),"0,00")</f>
        <v>0</v>
      </c>
      <c r="L57" s="11">
        <f>IFERROR((((E57*$P$17)+(H57*$P$20)+(K57*$P$23))/$P$26),"0,00")</f>
        <v>0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SUMIFS('[7]TABLO-1'!O4:O32873,'[7]TABLO-1'!H4:H32873,"=Dağıtım-AG",'[7]TABLO-1'!K4:K32873,"=Bildirimsiz",'[7]TABLO-1'!I4:I32873,"=Kısa",'[7]TABLO-1'!D4:D32873,"=KAPAKLI")/P6</f>
        <v>0</v>
      </c>
      <c r="D58" s="10">
        <f>SUMIFS('[7]TABLO-1'!P4:P32873,'[7]TABLO-1'!H4:H32873,"=Dağıtım-AG",'[7]TABLO-1'!K4:K32873,"=Bildirimsiz",'[7]TABLO-1'!I4:I32873,"=Kısa",'[7]TABLO-1'!D4:D32873,"=KAPAKLI")/P12</f>
        <v>3.7707620908646799E-3</v>
      </c>
      <c r="E58" s="10">
        <f>IFERROR((((C58*$P$6)+(D58*$P$12))/$P$17),"0,00")</f>
        <v>3.7580257432370751E-3</v>
      </c>
      <c r="F58" s="10" t="e">
        <f>SUMIFS('[7]TABLO-1'!Q4:Q32873,'[7]TABLO-1'!H4:H32873,"=Dağıtım-AG",'[7]TABLO-1'!K4:K32873,"=Bildirimsiz",'[7]TABLO-1'!I4:I32873,"=Kısa",'[7]TABLO-1'!D4:D32873,"=KAPAKLI")/P7</f>
        <v>#DIV/0!</v>
      </c>
      <c r="G58" s="10" t="e">
        <f>SUMIFS('[7]TABLO-1'!R4:R32873,'[7]TABLO-1'!H4:H32873,"=Dağıtım-AG",'[7]TABLO-1'!K4:K32873,"=Bildirimsiz",'[7]TABLO-1'!I4:I32873,"=Kısa",'[7]TABLO-1'!D4:D32873,"=KAPAKLI")/P13</f>
        <v>#DIV/0!</v>
      </c>
      <c r="H58" s="10" t="str">
        <f>IFERROR((((F58*$P$7)+(G58*$P$13))/$P$20),"0,00")</f>
        <v>0,00</v>
      </c>
      <c r="I58" s="10">
        <f>SUMIFS('[7]TABLO-1'!S4:S32873,'[7]TABLO-1'!H4:H32873,"=Dağıtım-AG",'[7]TABLO-1'!K4:K32873,"=Bildirimsiz",'[7]TABLO-1'!I4:I32873,"=Kısa",'[7]TABLO-1'!D4:D32873,"=KAPAKLI")/P8</f>
        <v>0</v>
      </c>
      <c r="J58" s="10">
        <f>SUMIFS('[7]TABLO-1'!T4:T32873,'[7]TABLO-1'!H4:H32873,"=Dağıtım-AG",'[7]TABLO-1'!K4:K32873,"=Bildirimsiz",'[7]TABLO-1'!I4:I32873,"=Kısa",'[7]TABLO-1'!D4:D32873,"=KAPAKLI")/P14</f>
        <v>0</v>
      </c>
      <c r="K58" s="10">
        <f>IFERROR((((I58*$P$8)+(J58*$P$14))/$P$23),"0,00")</f>
        <v>0</v>
      </c>
      <c r="L58" s="11">
        <f>IFERROR((((E58*$P$17)+(H58*$P$20)+(K58*$P$23))/$P$26),"0,00")</f>
        <v>3.736479842674533E-3</v>
      </c>
    </row>
    <row r="59" spans="2:13" ht="15" customHeight="1" thickBot="1" x14ac:dyDescent="0.3">
      <c r="B59" s="30" t="s">
        <v>20</v>
      </c>
      <c r="C59" s="10">
        <f t="shared" ref="C59:L59" si="20">SUM(C56:C58)</f>
        <v>0</v>
      </c>
      <c r="D59" s="10">
        <f t="shared" si="20"/>
        <v>3.7707620908646799E-3</v>
      </c>
      <c r="E59" s="10">
        <f t="shared" si="20"/>
        <v>3.7580257432370751E-3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>
        <f t="shared" si="20"/>
        <v>0</v>
      </c>
      <c r="J59" s="10">
        <f t="shared" si="20"/>
        <v>0</v>
      </c>
      <c r="K59" s="10">
        <f t="shared" si="20"/>
        <v>0</v>
      </c>
      <c r="L59" s="10">
        <f t="shared" si="20"/>
        <v>3.736479842674533E-3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222</v>
      </c>
      <c r="D65" s="27">
        <f>P12</f>
        <v>65504</v>
      </c>
      <c r="E65" s="27">
        <f>C65+D65</f>
        <v>65726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6</v>
      </c>
      <c r="J65" s="27">
        <f>P14</f>
        <v>373</v>
      </c>
      <c r="K65" s="17">
        <f>SUM(I65:J65)</f>
        <v>379</v>
      </c>
      <c r="L65" s="17">
        <f>H65+E65+K65</f>
        <v>66105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Q71"/>
  <sheetViews>
    <sheetView zoomScale="70" zoomScaleNormal="70" workbookViewId="0">
      <selection activeCell="N59" sqref="N5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İşletmecisi",'[7]TABLO-1'!K4:K32873,"=Bildirimsiz",'[7]TABLO-1'!I4:I32873,"=Uzun",'[7]TABLO-1'!D4:D32873,"=ERGENE")/P6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İşletmecisi",'[7]TABLO-1'!K4:K32873,"=Bildirimsiz",'[7]TABLO-1'!I4:I32873,"=Uzun",'[7]TABLO-1'!D4:D32873,"=ERGENE")/P12</f>
        <v>0</v>
      </c>
      <c r="F6" s="10">
        <f>IFERROR((((D6*$P$6)+(E6*$P$12))/$P$17),"0,00")</f>
        <v>0</v>
      </c>
      <c r="G6" s="10" t="e">
        <f>SUMIFS('[7]TABLO-1'!W4:W32873,'[7]TABLO-1'!H4:H32873,"=İletim",'[7]TABLO-1'!J4:J32873,"=Şebeke İşletmecisi",'[7]TABLO-1'!K4:K32873,"=Bildirimsiz",'[7]TABLO-1'!I4:I32873,"=Uzun",'[7]TABLO-1'!D4:D32873,"=ERGENE")/P7</f>
        <v>#DIV/0!</v>
      </c>
      <c r="H6" s="10" t="e">
        <f>SUMIFS('[7]TABLO-1'!X4:X32873,'[7]TABLO-1'!H4:H32873,"=İletim",'[7]TABLO-1'!J4:J32873,"=Şebeke İşletmecisi",'[7]TABLO-1'!K4:K32873,"=Bildirimsiz",'[7]TABLO-1'!I4:I32873,"=Uzun",'[7]TABLO-1'!D4:D32873,"=ERGENE")/P13</f>
        <v>#DIV/0!</v>
      </c>
      <c r="I6" s="10" t="str">
        <f>IFERROR((((G6*$P$7)+(H6*$P$13))/$P$20),"0,00")</f>
        <v>0,00</v>
      </c>
      <c r="J6" s="10">
        <f>SUMIFS('[7]TABLO-1'!Y4:Y32873,'[7]TABLO-1'!H4:H32873,"=İletim",'[7]TABLO-1'!J4:J32873,"=Şebeke İşletmecisi",'[7]TABLO-1'!K4:K32873,"=Bildirimsiz",'[7]TABLO-1'!I4:I32873,"=Uzun",'[7]TABLO-1'!D4:D32873,"=ERGENE")/P8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İşletmecisi",'[7]TABLO-1'!K4:K32873,"=Bildirimsiz",'[7]TABLO-1'!I4:I32873,"=Uzun",'[7]TABLO-1'!D4:D32873,"=ERGENE")/P14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674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Sebep",'[7]TABLO-1'!K4:K32873,"=Bildirimsiz",'[7]TABLO-1'!I4:I32873,"=Uzun",'[7]TABLO-1'!D4:D32873,"=ERGENE")/P6</f>
        <v>0</v>
      </c>
      <c r="E7" s="10">
        <f>SUMIFS('[7]TABLO-1'!V4:V32873,'[7]TABLO-1'!H4:H32873,"=İletim",'[7]TABLO-1'!J4:J32873,"=Mücbir Sebep",'[7]TABLO-1'!K4:K32873,"=Bildirimsiz",'[7]TABLO-1'!I4:I32873,"=Uzun",'[7]TABLO-1'!D4:D32873,"=ERGENE")/P12</f>
        <v>0</v>
      </c>
      <c r="F7" s="10">
        <f t="shared" ref="F7:F15" si="0">IFERROR((((D7*$P$6)+(E7*$P$12))/$P$17),"0,00")</f>
        <v>0</v>
      </c>
      <c r="G7" s="10" t="e">
        <f>SUMIFS('[7]TABLO-1'!W4:W32873,'[7]TABLO-1'!H4:H32873,"=İletim",'[7]TABLO-1'!J4:J32873,"=Mücbir Sebep",'[7]TABLO-1'!K4:K32873,"=Bildirimsiz",'[7]TABLO-1'!I4:I32873,"=Uzun",'[7]TABLO-1'!D4:D32873,"=ERGENE")/P7</f>
        <v>#DIV/0!</v>
      </c>
      <c r="H7" s="10" t="e">
        <f>SUMIFS('[7]TABLO-1'!X4:X32873,'[7]TABLO-1'!H4:H32873,"=İletim",'[7]TABLO-1'!J4:J32873,"=Mücbir Sebep",'[7]TABLO-1'!K4:K32873,"=Bildirimsiz",'[7]TABLO-1'!I4:I32873,"=Uzun",'[7]TABLO-1'!D4:D32873,"=ERGENE")/P13</f>
        <v>#DIV/0!</v>
      </c>
      <c r="I7" s="10" t="str">
        <f t="shared" ref="I7:I15" si="1">IFERROR((((G7*$P$7)+(H7*$P$13))/$P$20),"0,00")</f>
        <v>0,00</v>
      </c>
      <c r="J7" s="10">
        <f>SUMIFS('[7]TABLO-1'!Y4:Y32873,'[7]TABLO-1'!H4:H32873,"=İletim",'[7]TABLO-1'!J4:J32873,"=Mücbir Sebep",'[7]TABLO-1'!K4:K32873,"=Bildirimsiz",'[7]TABLO-1'!I4:I32873,"=Uzun",'[7]TABLO-1'!D4:D32873,"=ERGENE")/P8</f>
        <v>0</v>
      </c>
      <c r="K7" s="10">
        <f>SUMIFS('[7]TABLO-1'!Z4:Z32873,'[7]TABLO-1'!H4:H32873,"=İletim",'[7]TABLO-1'!J4:J32873,"=Mücbir Sebep",'[7]TABLO-1'!K4:K32873,"=Bildirimsiz",'[7]TABLO-1'!I4:I32873,"=Uzun",'[7]TABLO-1'!D4:D32873,"=ERGENE")/P14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İşletmecisi",'[7]TABLO-1'!K4:K32873,"=Bildirimsiz",'[7]TABLO-1'!I4:I32873,"=Uzun",'[7]TABLO-1'!D4:D32873,"=ERGENE")/P6</f>
        <v>26.837314539316086</v>
      </c>
      <c r="E8" s="10">
        <f>SUMIFS('[7]TABLO-1'!V4:V32873,'[7]TABLO-1'!H4:H32873,"=Dağıtım-OG",'[7]TABLO-1'!J4:J32873,"=Şebeke İşletmecisi",'[7]TABLO-1'!K4:K32873,"=Bildirimsiz",'[7]TABLO-1'!I4:I32873,"=Uzun",'[7]TABLO-1'!D4:D32873,"=ERGENE")/P12</f>
        <v>32.239442517807042</v>
      </c>
      <c r="F8" s="10">
        <f t="shared" si="0"/>
        <v>32.133755186307141</v>
      </c>
      <c r="G8" s="10" t="e">
        <f>SUMIFS('[7]TABLO-1'!W4:W32873,'[7]TABLO-1'!H4:H32873,"=Dağıtım-OG",'[7]TABLO-1'!J4:J32873,"=Şebeke İşletmecisi",'[7]TABLO-1'!K4:K32873,"=Bildirimsiz",'[7]TABLO-1'!I4:I32873,"=Uzun",'[7]TABLO-1'!D4:D32873,"=ERGENE")/P7</f>
        <v>#DIV/0!</v>
      </c>
      <c r="H8" s="10" t="e">
        <f>SUMIFS('[7]TABLO-1'!X4:X32873,'[7]TABLO-1'!H4:H32873,"=Dağıtım-OG",'[7]TABLO-1'!J4:J32873,"=Şebeke İşletmecisi",'[7]TABLO-1'!K4:K32873,"=Bildirimsiz",'[7]TABLO-1'!I4:I32873,"=Uzun",'[7]TABLO-1'!D4:D32873,"=ERGENE")/P13</f>
        <v>#DIV/0!</v>
      </c>
      <c r="I8" s="10" t="str">
        <f t="shared" si="1"/>
        <v>0,00</v>
      </c>
      <c r="J8" s="10">
        <f>SUMIFS('[7]TABLO-1'!Y4:Y32873,'[7]TABLO-1'!H4:H32873,"=Dağıtım-OG",'[7]TABLO-1'!J4:J32873,"=Şebeke İşletmecisi",'[7]TABLO-1'!K4:K32873,"=Bildirimsiz",'[7]TABLO-1'!I4:I32873,"=Uzun",'[7]TABLO-1'!D4:D32873,"=ERGENE")/P8</f>
        <v>18.950094428574982</v>
      </c>
      <c r="K8" s="10">
        <f>SUMIFS('[7]TABLO-1'!Z4:Z32873,'[7]TABLO-1'!H4:H32873,"=Dağıtım-OG",'[7]TABLO-1'!J4:J32873,"=Şebeke İşletmecisi",'[7]TABLO-1'!K4:K32873,"=Bildirimsiz",'[7]TABLO-1'!I4:I32873,"=Uzun",'[7]TABLO-1'!D4:D32873,"=ERGENE")/P14</f>
        <v>78.218712942105796</v>
      </c>
      <c r="L8" s="10">
        <f t="shared" si="2"/>
        <v>73.464833747541746</v>
      </c>
      <c r="M8" s="11">
        <f t="shared" si="3"/>
        <v>36.815575343518958</v>
      </c>
      <c r="O8" s="20" t="s">
        <v>36</v>
      </c>
      <c r="P8" s="53">
        <v>353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SUMIFS('[7]TABLO-1'!U4:U32873,'[7]TABLO-1'!H4:H32873,"=Dağıtım-OG",'[7]TABLO-1'!J4:J32873,"=Dışsal",'[7]TABLO-1'!K4:K32873,"=Bildirimsiz",'[7]TABLO-1'!I4:I32873,"=Uzun",'[7]TABLO-1'!D4:D32873,"=ERGENE")/P6</f>
        <v>0</v>
      </c>
      <c r="E9" s="10">
        <f>SUMIFS('[7]TABLO-1'!V4:V32873,'[7]TABLO-1'!H4:H32873,"=Dağıtım-OG",'[7]TABLO-1'!J4:J32873,"=Dışsal",'[7]TABLO-1'!K4:K32873,"=Bildirimsiz",'[7]TABLO-1'!I4:I32873,"=Uzun",'[7]TABLO-1'!D4:D32873,"=ERGENE")/P12</f>
        <v>0.30810413399321401</v>
      </c>
      <c r="F9" s="10">
        <f t="shared" si="0"/>
        <v>0.30207637902785955</v>
      </c>
      <c r="G9" s="10" t="e">
        <f>SUMIFS('[7]TABLO-1'!W4:W32873,'[7]TABLO-1'!H4:H32873,"=Dağıtım-OG",'[7]TABLO-1'!J4:J32873,"=Dışsal",'[7]TABLO-1'!K4:K32873,"=Bildirimsiz",'[7]TABLO-1'!I4:I32873,"=Uzun",'[7]TABLO-1'!D4:D32873,"=ERGENE")/P7</f>
        <v>#DIV/0!</v>
      </c>
      <c r="H9" s="10" t="e">
        <f>SUMIFS('[7]TABLO-1'!X4:X32873,'[7]TABLO-1'!H4:H32873,"=Dağıtım-OG",'[7]TABLO-1'!J4:J32873,"=Dışsal",'[7]TABLO-1'!K4:K32873,"=Bildirimsiz",'[7]TABLO-1'!I4:I32873,"=Uzun",'[7]TABLO-1'!D4:D32873,"=ERGENE")/P13</f>
        <v>#DIV/0!</v>
      </c>
      <c r="I9" s="10" t="str">
        <f t="shared" si="1"/>
        <v>0,00</v>
      </c>
      <c r="J9" s="10">
        <f>SUMIFS('[7]TABLO-1'!Y4:Y32873,'[7]TABLO-1'!H4:H32873,"=Dağıtım-OG",'[7]TABLO-1'!J4:J32873,"=Dışsal",'[7]TABLO-1'!K4:K32873,"=Bildirimsiz",'[7]TABLO-1'!I4:I32873,"=Uzun",'[7]TABLO-1'!D4:D32873,"=ERGENE")/P8</f>
        <v>11.098772427410141</v>
      </c>
      <c r="K9" s="10">
        <f>SUMIFS('[7]TABLO-1'!Z4:Z32873,'[7]TABLO-1'!H4:H32873,"=Dağıtım-OG",'[7]TABLO-1'!J4:J32873,"=Dışsal",'[7]TABLO-1'!K4:K32873,"=Bildirimsiz",'[7]TABLO-1'!I4:I32873,"=Uzun",'[7]TABLO-1'!D4:D32873,"=ERGENE")/P14</f>
        <v>56.528631425942073</v>
      </c>
      <c r="L9" s="10">
        <f t="shared" si="2"/>
        <v>52.88474589390804</v>
      </c>
      <c r="M9" s="11">
        <f t="shared" si="3"/>
        <v>6.2584319986867616</v>
      </c>
      <c r="O9" s="20" t="s">
        <v>17</v>
      </c>
      <c r="P9" s="53">
        <f>P6+P7+P8</f>
        <v>1027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Sebep",'[7]TABLO-1'!K4:K32873,"=Bildirimsiz",'[7]TABLO-1'!I4:I32873,"=Uzun",'[7]TABLO-1'!D4:D32873,"=ERGENE")/P6</f>
        <v>0</v>
      </c>
      <c r="E10" s="10">
        <f>SUMIFS('[7]TABLO-1'!V4:V32873,'[7]TABLO-1'!H4:H32873,"=Dağıtım-OG",'[7]TABLO-1'!J4:J32873,"=Mücbir Sebep",'[7]TABLO-1'!K4:K32873,"=Bildirimsiz",'[7]TABLO-1'!I4:I32873,"=Uzun",'[7]TABLO-1'!D4:D32873,"=ERGENE")/P12</f>
        <v>0</v>
      </c>
      <c r="F10" s="10">
        <f t="shared" si="0"/>
        <v>0</v>
      </c>
      <c r="G10" s="10" t="e">
        <f>SUMIFS('[7]TABLO-1'!W4:W32873,'[7]TABLO-1'!H4:H32873,"=Dağıtım-OG",'[7]TABLO-1'!J4:J32873,"=Mücbir Sebep",'[7]TABLO-1'!K4:K32873,"=Bildirimsiz",'[7]TABLO-1'!I4:I32873,"=Uzun",'[7]TABLO-1'!D4:D32873,"=ERGENE")/P7</f>
        <v>#DIV/0!</v>
      </c>
      <c r="H10" s="10" t="e">
        <f>SUMIFS('[7]TABLO-1'!X4:X32873,'[7]TABLO-1'!H4:H32873,"=Dağıtım-OG",'[7]TABLO-1'!J4:J32873,"=Mücbir Sebep",'[7]TABLO-1'!K4:K32873,"=Bildirimsiz",'[7]TABLO-1'!I4:I32873,"=Uzun",'[7]TABLO-1'!D4:D32873,"=ERGENE")/P13</f>
        <v>#DIV/0!</v>
      </c>
      <c r="I10" s="10" t="str">
        <f t="shared" si="1"/>
        <v>0,00</v>
      </c>
      <c r="J10" s="10">
        <f>SUMIFS('[7]TABLO-1'!Y4:Y32873,'[7]TABLO-1'!H4:H32873,"=Dağıtım-OG",'[7]TABLO-1'!J4:J32873,"=Mücbir Sebep",'[7]TABLO-1'!K4:K32873,"=Bildirimsiz",'[7]TABLO-1'!I4:I32873,"=Uzun",'[7]TABLO-1'!D4:D32873,"=ERGENE")/P8</f>
        <v>0</v>
      </c>
      <c r="K10" s="10">
        <f>SUMIFS('[7]TABLO-1'!Z4:Z32873,'[7]TABLO-1'!H4:H32873,"=Dağıtım-OG",'[7]TABLO-1'!J4:J32873,"=Mücbir Sebep",'[7]TABLO-1'!K4:K32873,"=Bildirimsiz",'[7]TABLO-1'!I4:I32873,"=Uzun",'[7]TABLO-1'!D4:D32873,"=ERGENE")/P14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SUMIFS('[7]TABLO-1'!U4:U32873,'[7]TABLO-1'!H4:H32873,"=Dağıtım-OG",'[7]TABLO-1'!J4:J32873,"=Güvenlik",'[7]TABLO-1'!K4:K32873,"=Bildirimsiz",'[7]TABLO-1'!I4:I32873,"=Uzun",'[7]TABLO-1'!D4:D32873,"=ERGENE")/P6</f>
        <v>0</v>
      </c>
      <c r="E11" s="10">
        <f>SUMIFS('[7]TABLO-1'!V4:V32873,'[7]TABLO-1'!H4:H32873,"=Dağıtım-OG",'[7]TABLO-1'!J4:J32873,"=Güvenlik",'[7]TABLO-1'!K4:K32873,"=Bildirimsiz",'[7]TABLO-1'!I4:I32873,"=Uzun",'[7]TABLO-1'!D4:D32873,"=ERGENE")/P12</f>
        <v>0</v>
      </c>
      <c r="F11" s="10">
        <f t="shared" si="0"/>
        <v>0</v>
      </c>
      <c r="G11" s="10" t="e">
        <f>SUMIFS('[7]TABLO-1'!W4:W32873,'[7]TABLO-1'!H4:H32873,"=Dağıtım-OG",'[7]TABLO-1'!J4:J32873,"=Güvenlik",'[7]TABLO-1'!K4:K32873,"=Bildirimsiz",'[7]TABLO-1'!I4:I32873,"=Uzun",'[7]TABLO-1'!D4:D32873,"=ERGENE")/P7</f>
        <v>#DIV/0!</v>
      </c>
      <c r="H11" s="10" t="e">
        <f>SUMIFS('[7]TABLO-1'!X4:X32873,'[7]TABLO-1'!H4:H32873,"=Dağıtım-OG",'[7]TABLO-1'!J4:J32873,"=Güvenlik",'[7]TABLO-1'!K4:K32873,"=Bildirimsiz",'[7]TABLO-1'!I4:I32873,"=Uzun",'[7]TABLO-1'!D4:D32873,"=ERGENE")/P13</f>
        <v>#DIV/0!</v>
      </c>
      <c r="I11" s="10" t="str">
        <f t="shared" si="1"/>
        <v>0,00</v>
      </c>
      <c r="J11" s="10">
        <f>SUMIFS('[7]TABLO-1'!Y4:Y32873,'[7]TABLO-1'!H4:H32873,"=Dağıtım-OG",'[7]TABLO-1'!J4:J32873,"=Güvenlik",'[7]TABLO-1'!K4:K32873,"=Bildirimsiz",'[7]TABLO-1'!I4:I32873,"=Uzun",'[7]TABLO-1'!D4:D32873,"=ERGENE")/P8</f>
        <v>0</v>
      </c>
      <c r="K11" s="10">
        <f>SUMIFS('[7]TABLO-1'!Z4:Z32873,'[7]TABLO-1'!H4:H32873,"=Dağıtım-OG",'[7]TABLO-1'!J4:J32873,"=Güvenlik",'[7]TABLO-1'!K4:K32873,"=Bildirimsiz",'[7]TABLO-1'!I4:I32873,"=Uzun",'[7]TABLO-1'!D4:D32873,"=ERGENE")/P14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İşletmecisi",'[7]TABLO-1'!K4:K32873,"=Bildirimsiz",'[7]TABLO-1'!I4:I32873,"=Uzun",'[7]TABLO-1'!D4:D32873,"=ERGENE")/P6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işletmecisi",'[7]TABLO-1'!K4:K32873,"=Bildirimsiz",'[7]TABLO-1'!I4:I32873,"=Uzun",'[7]TABLO-1'!D4:D32873,"=ERGENE")/P12</f>
        <v>12.325336274372606</v>
      </c>
      <c r="F12" s="10">
        <f t="shared" si="0"/>
        <v>12.084203167962716</v>
      </c>
      <c r="G12" s="12" t="e">
        <f>SUMIFS('[7]TABLO-1'!W4:W32873,'[7]TABLO-1'!H4:H32873,"=Dağıtım-AG",'[7]TABLO-1'!J4:J32873,"=Şebeke İşletmecisi",'[7]TABLO-1'!K4:K32873,"=Bildirimsiz",'[7]TABLO-1'!I4:I32873,"=Uzun",'[7]TABLO-1'!D4:D32873,"=ERGENE")/P7</f>
        <v>#DIV/0!</v>
      </c>
      <c r="H12" s="10" t="e">
        <f>SUMIFS('[7]TABLO-1'!X4:X32873,'[7]TABLO-1'!H4:H32873,"=Dağıtım-AG",'[7]TABLO-1'!J4:J32873,"=Şebeke İşletmecisi",'[7]TABLO-1'!K4:K32873,"=Bildirimsiz",'[7]TABLO-1'!I4:I32873,"=Uzun",'[7]TABLO-1'!D4:D32873,"=ERGENE")/P13</f>
        <v>#DIV/0!</v>
      </c>
      <c r="I12" s="10" t="str">
        <f t="shared" si="1"/>
        <v>0,00</v>
      </c>
      <c r="J12" s="12">
        <f>SUMIFS('[7]TABLO-1'!Y4:Y32873,'[7]TABLO-1'!H4:H32873,"=Dağıtım-AG",'[7]TABLO-1'!J4:J32873,"=Şebeke İşletmecisi",'[7]TABLO-1'!K4:K32873,"=Bildirimsiz",'[7]TABLO-1'!I4:I32873,"=Uzun",'[7]TABLO-1'!D4:D32873,"=ERGENE")/P8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İşletmecisi",'[7]TABLO-1'!K4:K32873,"=Bildirimsiz",'[7]TABLO-1'!I4:I32873,"=Uzun",'[7]TABLO-1'!D4:D32873,"=ERGENE")/P14</f>
        <v>7.3646615613584947</v>
      </c>
      <c r="L12" s="10">
        <f t="shared" si="2"/>
        <v>6.7739491025628693</v>
      </c>
      <c r="M12" s="11">
        <f t="shared" si="3"/>
        <v>11.482678712546656</v>
      </c>
      <c r="O12" s="6" t="s">
        <v>33</v>
      </c>
      <c r="P12" s="42">
        <v>33777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SUMIFS('[7]TABLO-1'!U4:U32873,'[7]TABLO-1'!H4:H32873,"=Dağıtım-AG",'[7]TABLO-1'!J4:J32873,"=Dışsal",'[7]TABLO-1'!K4:K32873,"=Bildirimsiz",'[7]TABLO-1'!I4:I32873,"=Uzun",'[7]TABLO-1'!D4:D32873,"=ERGENE")/P6</f>
        <v>0</v>
      </c>
      <c r="E13" s="10">
        <f>SUMIFS('[7]TABLO-1'!V4:V32873,'[7]TABLO-1'!H4:H32873,"=Dağıtım-AG",'[7]TABLO-1'!J4:J32873,"=Dışsal",'[7]TABLO-1'!K4:K32873,"=Bildirimsiz",'[7]TABLO-1'!I4:I32873,"=Uzun",'[7]TABLO-1'!D4:D32873,"=ERGENE")/P12</f>
        <v>0.14337665670057037</v>
      </c>
      <c r="F13" s="10">
        <f t="shared" si="0"/>
        <v>0.14057163314200358</v>
      </c>
      <c r="G13" s="12" t="e">
        <f>SUMIFS('[7]TABLO-1'!W4:W32873,'[7]TABLO-1'!H4:H32873,"=Dağıtım-AG",'[7]TABLO-1'!J4:J32873,"=Dışsal",'[7]TABLO-1'!K4:K32873,"=Bildirimsiz",'[7]TABLO-1'!I4:I32873,"=Uzun",'[7]TABLO-1'!D4:D32873,"=ERGENE")/P7</f>
        <v>#DIV/0!</v>
      </c>
      <c r="H13" s="10" t="e">
        <f>SUMIFS('[7]TABLO-1'!X4:X32873,'[7]TABLO-1'!H4:H32873,"=Dağıtım-AG",'[7]TABLO-1'!J4:J32873,"=Dışsal",'[7]TABLO-1'!K4:K32873,"=Bildirimsiz",'[7]TABLO-1'!I4:I32873,"=Uzun",'[7]TABLO-1'!D4:D32873,"=ERGENE")/P13</f>
        <v>#DIV/0!</v>
      </c>
      <c r="I13" s="10" t="str">
        <f t="shared" si="1"/>
        <v>0,00</v>
      </c>
      <c r="J13" s="12">
        <f>SUMIFS('[7]TABLO-1'!Y4:Y32873,'[7]TABLO-1'!H4:H32873,"=Dağıtım-AG",'[7]TABLO-1'!J4:J32873,"=Dışsal",'[7]TABLO-1'!K4:K32873,"=Bildirimsiz",'[7]TABLO-1'!I4:I32873,"=Uzun",'[7]TABLO-1'!D4:D32873,"=ERGENE")/P8</f>
        <v>0</v>
      </c>
      <c r="K13" s="10">
        <f>SUMIFS('[7]TABLO-1'!Z4:Z32873,'[7]TABLO-1'!H4:H32873,"=Dağıtım-AG",'[7]TABLO-1'!J4:J32873,"=Dışsal",'[7]TABLO-1'!K4:K32873,"=Bildirimsiz",'[7]TABLO-1'!I4:I32873,"=Uzun",'[7]TABLO-1'!D4:D32873,"=ERGENE")/P14</f>
        <v>4.8830698287641819E-2</v>
      </c>
      <c r="L13" s="10">
        <f t="shared" si="2"/>
        <v>4.4914034689473775E-2</v>
      </c>
      <c r="M13" s="11">
        <f t="shared" si="3"/>
        <v>0.12973592093183206</v>
      </c>
      <c r="O13" s="6" t="s">
        <v>35</v>
      </c>
      <c r="P13" s="42">
        <v>0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Sebep",'[7]TABLO-1'!K4:K32873,"=Bildirimsiz",'[7]TABLO-1'!I4:I32873,"=Uzun",'[7]TABLO-1'!D4:D32873,"=ERGENE")/P6</f>
        <v>0</v>
      </c>
      <c r="E14" s="10">
        <f>SUMIFS('[7]TABLO-1'!V4:V32873,'[7]TABLO-1'!H4:H32873,"=Dağıtım-AG",'[7]TABLO-1'!J4:J32873,"=Mücbir Sebep",'[7]TABLO-1'!K4:K32873,"=Bildirimsiz",'[7]TABLO-1'!I4:I32873,"=Uzun",'[7]TABLO-1'!D4:D32873,"=ERGENE")/P12</f>
        <v>0</v>
      </c>
      <c r="F14" s="10">
        <f t="shared" si="0"/>
        <v>0</v>
      </c>
      <c r="G14" s="12" t="e">
        <f>SUMIFS('[7]TABLO-1'!W4:W32873,'[7]TABLO-1'!H4:H32873,"=Dağıtım-AG",'[7]TABLO-1'!J4:J32873,"=Mücbir Sebep",'[7]TABLO-1'!K4:K32873,"=Bildirimsiz",'[7]TABLO-1'!I4:I32873,"=Uzun",'[7]TABLO-1'!D4:D32873,"=ERGENE")/P7</f>
        <v>#DIV/0!</v>
      </c>
      <c r="H14" s="10" t="e">
        <f>SUMIFS('[7]TABLO-1'!X4:X32873,'[7]TABLO-1'!H4:H32873,"=Dağıtım-AG",'[7]TABLO-1'!J4:J32873,"=Mücbir Sebep",'[7]TABLO-1'!K4:K32873,"=Bildirimsiz",'[7]TABLO-1'!I4:I32873,"=Uzun",'[7]TABLO-1'!D4:D32873,"=ERGENE")/P13</f>
        <v>#DIV/0!</v>
      </c>
      <c r="I14" s="10" t="str">
        <f t="shared" si="1"/>
        <v>0,00</v>
      </c>
      <c r="J14" s="12">
        <f>SUMIFS('[7]TABLO-1'!Y4:Y32873,'[7]TABLO-1'!H4:H32873,"=Dağıtım-AG",'[7]TABLO-1'!J4:J32873,"=Mücbir Sebep",'[7]TABLO-1'!K4:K32873,"=Bildirimsiz",'[7]TABLO-1'!I4:I32873,"=Uzun",'[7]TABLO-1'!D4:D32873,"=ERGENE")/P8</f>
        <v>0</v>
      </c>
      <c r="K14" s="10">
        <f>SUMIFS('[7]TABLO-1'!Z4:Z32873,'[7]TABLO-1'!H4:H32873,"=Dağıtım-AG",'[7]TABLO-1'!J4:J32873,"=Mücbir Sebep",'[7]TABLO-1'!K4:K32873,"=Bildirimsiz",'[7]TABLO-1'!I4:I32873,"=Uzun",'[7]TABLO-1'!D4:D32873,"=ERGENE")/P14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4048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SUMIFS('[7]TABLO-1'!U4:U32873,'[7]TABLO-1'!H4:H32873,"=Dağıtım-AG",'[7]TABLO-1'!J4:J32873,"=Güvenlik",'[7]TABLO-1'!K4:K32873,"=Bildirimsiz",'[7]TABLO-1'!I4:I32873,"=Uzun",'[7]TABLO-1'!D4:D32873,"=ERGENE")/P6</f>
        <v>0</v>
      </c>
      <c r="E15" s="10">
        <f>SUMIFS('[7]TABLO-1'!V4:V32873,'[7]TABLO-1'!H4:H32873,"=Dağıtım-AG",'[7]TABLO-1'!J4:J32873,"=Güvenlik",'[7]TABLO-1'!K4:K32873,"=Bildirimsiz",'[7]TABLO-1'!I4:I32873,"=Uzun",'[7]TABLO-1'!D4:D32873,"=ERGENE")/P12</f>
        <v>0</v>
      </c>
      <c r="F15" s="10">
        <f t="shared" si="0"/>
        <v>0</v>
      </c>
      <c r="G15" s="12" t="e">
        <f>SUMIFS('[7]TABLO-1'!W4:W32873,'[7]TABLO-1'!H4:H32873,"=Dağıtım-AG",'[7]TABLO-1'!J4:J32873,"=Güvenlik",'[7]TABLO-1'!K4:K32873,"=Bildirimsiz",'[7]TABLO-1'!I4:I32873,"=Uzun",'[7]TABLO-1'!D4:D32873,"=ERGENE")/P7</f>
        <v>#DIV/0!</v>
      </c>
      <c r="H15" s="10" t="e">
        <f>SUMIFS('[7]TABLO-1'!X4:X32873,'[7]TABLO-1'!H4:H32873,"=Dağıtım-AG",'[7]TABLO-1'!J4:J32873,"=Güvenlik",'[7]TABLO-1'!K4:K32873,"=Bildirimsiz",'[7]TABLO-1'!I4:I32873,"=Uzun",'[7]TABLO-1'!D4:D32873,"=ERGENE")/P13</f>
        <v>#DIV/0!</v>
      </c>
      <c r="I15" s="10" t="str">
        <f t="shared" si="1"/>
        <v>0,00</v>
      </c>
      <c r="J15" s="12">
        <f>SUMIFS('[7]TABLO-1'!Y4:Y32873,'[7]TABLO-1'!H4:H32873,"=Dağıtım-AG",'[7]TABLO-1'!J4:J32873,"=Güvenlik",'[7]TABLO-1'!K4:K32873,"=Bildirimsiz",'[7]TABLO-1'!I4:I32873,"=Uzun",'[7]TABLO-1'!D4:D32873,"=ERGENE")/P8</f>
        <v>0</v>
      </c>
      <c r="K15" s="10">
        <f>SUMIFS('[7]TABLO-1'!Z4:Z32873,'[7]TABLO-1'!H4:H32873,"=Dağıtım-AG",'[7]TABLO-1'!J4:J32873,"=Güvenlik",'[7]TABLO-1'!K4:K32873,"=Bildirimsiz",'[7]TABLO-1'!I4:I32873,"=Uzun",'[7]TABLO-1'!D4:D32873,"=ERGENE")/P14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37825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26.837314539316086</v>
      </c>
      <c r="E16" s="10">
        <f t="shared" si="4"/>
        <v>45.016259582873431</v>
      </c>
      <c r="F16" s="10">
        <f t="shared" si="4"/>
        <v>44.660606366439723</v>
      </c>
      <c r="G16" s="10" t="e">
        <f t="shared" si="4"/>
        <v>#DIV/0!</v>
      </c>
      <c r="H16" s="10" t="e">
        <f t="shared" si="4"/>
        <v>#DIV/0!</v>
      </c>
      <c r="I16" s="10">
        <f t="shared" si="4"/>
        <v>0</v>
      </c>
      <c r="J16" s="10">
        <f>SUM(J6:J15)</f>
        <v>30.048866855985125</v>
      </c>
      <c r="K16" s="10">
        <f>SUM(K6:K15)</f>
        <v>142.16083662769401</v>
      </c>
      <c r="L16" s="10">
        <f>SUM(L6:L15)</f>
        <v>133.16844277870214</v>
      </c>
      <c r="M16" s="11">
        <f t="shared" si="4"/>
        <v>54.686421975684205</v>
      </c>
    </row>
    <row r="17" spans="2:16" ht="15" customHeight="1" x14ac:dyDescent="0.25">
      <c r="B17" s="29"/>
      <c r="O17" s="50" t="s">
        <v>37</v>
      </c>
      <c r="P17" s="47">
        <f>P6+P12</f>
        <v>34451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0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İşletmecisi",'[7]TABLO-1'!K4:K32873,"=Bildirimli",'[7]TABLO-1'!I4:I32873,"=Uzun",'[7]TABLO-1'!D4:D32873,"=ERGENE")/P6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İşletmecisi",'[7]TABLO-1'!K4:K32873,"=Bildirimli",'[7]TABLO-1'!I4:I32873,"=Uzun",'[7]TABLO-1'!D4:D32873,"=ERGENE")/P12</f>
        <v>0</v>
      </c>
      <c r="F21" s="10">
        <f>IFERROR((((D21*$P$6)+(E21*$P$12))/$P$17),"0,00")</f>
        <v>0</v>
      </c>
      <c r="G21" s="10" t="e">
        <f>SUMIFS('[7]TABLO-1'!W4:W32873,'[7]TABLO-1'!H4:H32873,"=İletim",'[7]TABLO-1'!J4:J32873,"=Şebeke İşletmecisi",'[7]TABLO-1'!K4:K32873,"=Bildirimli",'[7]TABLO-1'!I4:I32873,"=Uzun",'[7]TABLO-1'!D4:D32873,"=ERGENE")/P7</f>
        <v>#DIV/0!</v>
      </c>
      <c r="H21" s="10" t="e">
        <f>SUMIFS('[7]TABLO-1'!X4:X32873,'[7]TABLO-1'!H4:H32873,"=İletim",'[7]TABLO-1'!J4:J32873,"=Şebeke İşletmecisi",'[7]TABLO-1'!K4:K32873,"=Bildirimli",'[7]TABLO-1'!I4:I32873,"=Uzun",'[7]TABLO-1'!D4:D32873,"=ERGENE")/P13</f>
        <v>#DIV/0!</v>
      </c>
      <c r="I21" s="10" t="str">
        <f>IFERROR((((G21*$P$7)+(H21*$P$13))/$P$20),"0,00")</f>
        <v>0,00</v>
      </c>
      <c r="J21" s="10">
        <f>SUMIFS('[7]TABLO-1'!Y4:Y32873,'[7]TABLO-1'!H4:H32873,"=İletim",'[7]TABLO-1'!J4:J32873,"=Şebeke İşletmecisi",'[7]TABLO-1'!K4:K32873,"=Bildirimli",'[7]TABLO-1'!I4:I32873,"=Uzun",'[7]TABLO-1'!D4:D32873,"=ERGENE")/P8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İşletmecisi",'[7]TABLO-1'!K4:K32873,"=Bildirimli",'[7]TABLO-1'!I4:I32873,"=Uzun",'[7]TABLO-1'!D4:D32873,"=ERGENE")/P14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İşletmecisi",'[7]TABLO-1'!K4:K32873,"=Bildirimli",'[7]TABLO-1'!I4:I32873,"=Uzun",'[7]TABLO-1'!D4:D32873,"=ERGENE")/P6</f>
        <v>67.662957467659353</v>
      </c>
      <c r="E22" s="10">
        <f>SUMIFS('[7]TABLO-1'!V4:V32873,'[7]TABLO-1'!H4:H32873,"=Dağıtım-OG",'[7]TABLO-1'!J4:J32873,"=Şebeke İşletmecisi",'[7]TABLO-1'!K4:K32873,"=Bildirimli",'[7]TABLO-1'!I4:I32873,"=Uzun",'[7]TABLO-1'!D4:D32873,"=ERGENE")/P12</f>
        <v>69.240619355938676</v>
      </c>
      <c r="F22" s="10">
        <f t="shared" ref="F22:F25" si="5">IFERROR((((D22*$P$6)+(E22*$P$12))/$P$17),"0,00")</f>
        <v>69.209753949631164</v>
      </c>
      <c r="G22" s="10" t="e">
        <f>SUMIFS('[7]TABLO-1'!W4:W32873,'[7]TABLO-1'!H4:H32873,"=Dağıtım-OG",'[7]TABLO-1'!J4:J32873,"=Şebeke İşletmecisi",'[7]TABLO-1'!K4:K32873,"=Bildirimli",'[7]TABLO-1'!I4:I32873,"=Uzun",'[7]TABLO-1'!D4:D32873,"=ERGENE")/P7</f>
        <v>#DIV/0!</v>
      </c>
      <c r="H22" s="10" t="e">
        <f>SUMIFS('[7]TABLO-1'!X4:X32873,'[7]TABLO-1'!H4:H32873,"=Dağıtım-OG",'[7]TABLO-1'!J4:J32873,"=Şebeke İşletmecisi",'[7]TABLO-1'!K4:K32873,"=Bildirimli",'[7]TABLO-1'!I4:I32873,"=Uzun",'[7]TABLO-1'!D4:D32873,"=ERGENE")/P13</f>
        <v>#DIV/0!</v>
      </c>
      <c r="I22" s="10" t="str">
        <f t="shared" ref="I22:I25" si="6">IFERROR((((G22*$P$7)+(H22*$P$13))/$P$20),"0,00")</f>
        <v>0,00</v>
      </c>
      <c r="J22" s="10">
        <f>SUMIFS('[7]TABLO-1'!Y4:Y32873,'[7]TABLO-1'!H4:H32873,"=Dağıtım-OG",'[7]TABLO-1'!J4:J32873,"=Şebeke İşletmecisi",'[7]TABLO-1'!K4:K32873,"=Bildirimli",'[7]TABLO-1'!I4:I32873,"=Uzun",'[7]TABLO-1'!D4:D32873,"=ERGENE")/P8</f>
        <v>17.59475920704212</v>
      </c>
      <c r="K22" s="10">
        <f>SUMIFS('[7]TABLO-1'!Z4:Z32873,'[7]TABLO-1'!H4:H32873,"=Dağıtım-OG",'[7]TABLO-1'!J4:J32873,"=Şebeke İşletmecisi",'[7]TABLO-1'!K4:K32873,"=Bildirimli",'[7]TABLO-1'!I4:I32873,"=Uzun",'[7]TABLO-1'!D4:D32873,"=ERGENE")/P14</f>
        <v>1.1530303030234892</v>
      </c>
      <c r="L22" s="10">
        <f t="shared" ref="L22:L25" si="7">IFERROR((((J22*$P$8)+(K22*$P$14))/$P$23),"0,00")</f>
        <v>2.4718056502442516</v>
      </c>
      <c r="M22" s="11">
        <f t="shared" ref="M22:M25" si="8">IFERROR((((F22*$P$17)+(I22*$P$20)+(L22*$P$23))/$P$26),"0,00")</f>
        <v>61.64994466141944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SUMIFS('[7]TABLO-1'!U4:U32873,'[7]TABLO-1'!H4:H32873,"=Dağıtım-OG",'[7]TABLO-1'!J4:J32873,"=Güvenlik",'[7]TABLO-1'!K4:K32873,"=Bildirimli",'[7]TABLO-1'!I4:I32873,"=Uzun",'[7]TABLO-1'!D4:D32873,"=ERGENE")/P6</f>
        <v>0</v>
      </c>
      <c r="E23" s="10">
        <f>SUMIFS('[7]TABLO-1'!V4:V32873,'[7]TABLO-1'!H4:H32873,"=Dağıtım-OG",'[7]TABLO-1'!J4:J32873,"=Güvenlik",'[7]TABLO-1'!K4:K32873,"=Bildirimli",'[7]TABLO-1'!I4:I32873,"=Uzun",'[7]TABLO-1'!D4:D32873,"=ERGENE")/P12</f>
        <v>0</v>
      </c>
      <c r="F23" s="10">
        <f t="shared" si="5"/>
        <v>0</v>
      </c>
      <c r="G23" s="10" t="e">
        <f>SUMIFS('[7]TABLO-1'!W4:W32873,'[7]TABLO-1'!H4:H32873,"=Dağıtım-OG",'[7]TABLO-1'!J4:J32873,"=Güvenlik",'[7]TABLO-1'!K4:K32873,"=Bildirimli",'[7]TABLO-1'!I4:I32873,"=Uzun",'[7]TABLO-1'!D4:D32873,"=ERGENE")/P7</f>
        <v>#DIV/0!</v>
      </c>
      <c r="H23" s="10" t="e">
        <f>SUMIFS('[7]TABLO-1'!X4:X32873,'[7]TABLO-1'!H4:H32873,"=Dağıtım-OG",'[7]TABLO-1'!J4:J32873,"=Güvenlik",'[7]TABLO-1'!K4:K32873,"=Bildirimli",'[7]TABLO-1'!I4:I32873,"=Uzun",'[7]TABLO-1'!D4:D32873,"=ERGENE")/P13</f>
        <v>#DIV/0!</v>
      </c>
      <c r="I23" s="10" t="str">
        <f t="shared" si="6"/>
        <v>0,00</v>
      </c>
      <c r="J23" s="10">
        <f>SUMIFS('[7]TABLO-1'!Y4:Y32873,'[7]TABLO-1'!H4:H32873,"=Dağıtım-OG",'[7]TABLO-1'!J4:J32873,"=Güvenlik",'[7]TABLO-1'!K4:K32873,"=Bildirimli",'[7]TABLO-1'!I4:I32873,"=Uzun",'[7]TABLO-1'!D4:D32873,"=ERGENE")/P8</f>
        <v>0</v>
      </c>
      <c r="K23" s="10">
        <f>SUMIFS('[7]TABLO-1'!Z4:Z32873,'[7]TABLO-1'!H4:H32873,"=Dağıtım-OG",'[7]TABLO-1'!J4:J32873,"=Güvenlik",'[7]TABLO-1'!K4:K32873,"=Bildirimli",'[7]TABLO-1'!I4:I32873,"=Uzun",'[7]TABLO-1'!D4:D32873,"=ERGENE")/P14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4401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İşletmecisi",'[7]TABLO-1'!K4:K32873,"=Bildirimli",'[7]TABLO-1'!I4:I32873,"=Uzun",'[7]TABLO-1'!D4:D32873,"=ERGENE")/P6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İşletmecisi",'[7]TABLO-1'!K4:K32873,"=Bildirimli",'[7]TABLO-1'!I4:I32873,"=Uzun",'[7]TABLO-1'!D4:D32873,"=ERGENE")/P12</f>
        <v>1.2226293039705571</v>
      </c>
      <c r="F24" s="10">
        <f t="shared" si="5"/>
        <v>1.1987097616967144</v>
      </c>
      <c r="G24" s="12" t="e">
        <f>SUMIFS('[7]TABLO-1'!W4:W32873,'[7]TABLO-1'!H4:H32873,"=Dağıtım-AG",'[7]TABLO-1'!J4:J32873,"=Şebeke İşletmecisi",'[7]TABLO-1'!K4:K32873,"=Bildirimli",'[7]TABLO-1'!I4:I32873,"=Uzun",'[7]TABLO-1'!D4:D32873,"=ERGENE")/P7</f>
        <v>#DIV/0!</v>
      </c>
      <c r="H24" s="10" t="e">
        <f>SUMIFS('[7]TABLO-1'!X4:X32873,'[7]TABLO-1'!H4:H32873,"=Dağıtım-AG",'[7]TABLO-1'!J4:J32873,"=Şebeke İşletmecisi",'[7]TABLO-1'!K4:K32873,"=Bildirimli",'[7]TABLO-1'!I4:I32873,"=Uzun",'[7]TABLO-1'!D4:D32873,"=ERGENE")/P13</f>
        <v>#DIV/0!</v>
      </c>
      <c r="I24" s="10" t="str">
        <f t="shared" si="6"/>
        <v>0,00</v>
      </c>
      <c r="J24" s="12">
        <f>SUMIFS('[7]TABLO-1'!Y4:Y32873,'[7]TABLO-1'!H4:H32873,"=Dağıtım-AG",'[7]TABLO-1'!J4:J32873,"=Şebeke İşletmecisi",'[7]TABLO-1'!K4:K32873,"=Bildirimli",'[7]TABLO-1'!I4:I32873,"=Uzun",'[7]TABLO-1'!D4:D32873,"=ERGENE")/P8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İşletmecisi",'[7]TABLO-1'!K4:K32873,"=Bildirimli",'[7]TABLO-1'!I4:I32873,"=Uzun",'[7]TABLO-1'!D4:D32873,"=ERGENE")/P14</f>
        <v>0</v>
      </c>
      <c r="L24" s="10">
        <f t="shared" si="7"/>
        <v>0</v>
      </c>
      <c r="M24" s="11">
        <f t="shared" si="8"/>
        <v>1.0629246885672168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SUMIFS('[7]TABLO-1'!U4:U32873,'[7]TABLO-1'!H4:H32873,"=Dağıtım-AG",'[7]TABLO-1'!J4:J32873,"=Güvenlik",'[7]TABLO-1'!K4:K32873,"=Bildirimli",'[7]TABLO-1'!I4:I32873,"=Uzun",'[7]TABLO-1'!D4:D32873,"=ERGENE")/P6</f>
        <v>0</v>
      </c>
      <c r="E25" s="10">
        <f>SUMIFS('[7]TABLO-1'!V4:V32873,'[7]TABLO-1'!H4:H32873,"=Dağıtım-AG",'[7]TABLO-1'!J4:J32873,"=Güvenlik",'[7]TABLO-1'!K4:K32873,"=Bildirimli",'[7]TABLO-1'!I4:I32873,"=Uzun",'[7]TABLO-1'!D4:D32873,"=ERGENE")/P12</f>
        <v>0</v>
      </c>
      <c r="F25" s="10">
        <f t="shared" si="5"/>
        <v>0</v>
      </c>
      <c r="G25" s="12" t="e">
        <f>SUMIFS('[7]TABLO-1'!W4:W32873,'[7]TABLO-1'!H4:H32873,"=Dağıtım-AG",'[7]TABLO-1'!J4:J32873,"=Güvenlik",'[7]TABLO-1'!K4:K32873,"=Bildirimli",'[7]TABLO-1'!I4:I32873,"=Uzun",'[7]TABLO-1'!D4:D32873,"=ERGENE")/P7</f>
        <v>#DIV/0!</v>
      </c>
      <c r="H25" s="10" t="e">
        <f>SUMIFS('[7]TABLO-1'!X4:X32873,'[7]TABLO-1'!H4:H32873,"=Dağıtım-AG",'[7]TABLO-1'!J4:J32873,"=Güvenlik",'[7]TABLO-1'!K4:K32873,"=Bildirimli",'[7]TABLO-1'!I4:I32873,"=Uzun",'[7]TABLO-1'!D4:D32873,"=ERGENE")/P13</f>
        <v>#DIV/0!</v>
      </c>
      <c r="I25" s="10" t="str">
        <f t="shared" si="6"/>
        <v>0,00</v>
      </c>
      <c r="J25" s="12">
        <f>SUMIFS('[7]TABLO-1'!Y4:Y32873,'[7]TABLO-1'!H4:H32873,"=Dağıtım-AG",'[7]TABLO-1'!J4:J32873,"=Güvenlik",'[7]TABLO-1'!K4:K32873,"=Bildirimli",'[7]TABLO-1'!I4:I32873,"=Uzun",'[7]TABLO-1'!D4:D32873,"=ERGENE")/P8</f>
        <v>0</v>
      </c>
      <c r="K25" s="10">
        <f>SUMIFS('[7]TABLO-1'!Z4:Z32873,'[7]TABLO-1'!H4:H32873,"=Dağıtım-AG",'[7]TABLO-1'!J4:J32873,"=Güvenlik",'[7]TABLO-1'!K4:K32873,"=Bildirimli",'[7]TABLO-1'!I4:I32873,"=Uzun",'[7]TABLO-1'!D4:D32873,"=ERGENE")/P14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67.662957467659353</v>
      </c>
      <c r="E26" s="10">
        <f t="shared" ref="E26:M26" si="9">SUM(E21:E25)</f>
        <v>70.46324865990924</v>
      </c>
      <c r="F26" s="10">
        <f t="shared" si="9"/>
        <v>70.408463711327883</v>
      </c>
      <c r="G26" s="10" t="e">
        <f t="shared" si="9"/>
        <v>#DIV/0!</v>
      </c>
      <c r="H26" s="10" t="e">
        <f t="shared" si="9"/>
        <v>#DIV/0!</v>
      </c>
      <c r="I26" s="10">
        <f t="shared" si="9"/>
        <v>0</v>
      </c>
      <c r="J26" s="10">
        <f t="shared" si="9"/>
        <v>17.59475920704212</v>
      </c>
      <c r="K26" s="10">
        <f t="shared" si="9"/>
        <v>1.1530303030234892</v>
      </c>
      <c r="L26" s="10">
        <f t="shared" si="9"/>
        <v>2.4718056502442516</v>
      </c>
      <c r="M26" s="11">
        <f t="shared" si="9"/>
        <v>62.712869349986654</v>
      </c>
      <c r="O26" s="43" t="s">
        <v>22</v>
      </c>
      <c r="P26" s="44">
        <f>P20+P17+P23</f>
        <v>38852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İşletmecisi",'[7]TABLO-1'!K4:K32873,"=Bildirimsiz",'[7]TABLO-1'!I4:I32873,"=Uzun",'[7]TABLO-1'!D4:D32873,"=ERGENE")/P6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İşletmecisi",'[7]TABLO-1'!K4:K32873,"=Bildirimsiz",'[7]TABLO-1'!I4:I32873,"=Uzun",'[7]TABLO-1'!D4:D32873,"=ERGENE")/P12</f>
        <v>0</v>
      </c>
      <c r="F31" s="10">
        <f>IFERROR((((D31*$P$6)+(E31*$P$12))/$P$17),"0,00")</f>
        <v>0</v>
      </c>
      <c r="G31" s="10" t="e">
        <f>SUMIFS('[7]TABLO-1'!Q4:Q32873,'[7]TABLO-1'!H4:H32873,"=İletim",'[7]TABLO-1'!J4:J32873,"=Şebeke İşletmecisi",'[7]TABLO-1'!K4:K32873,"=Bildirimsiz",'[7]TABLO-1'!I4:I32873,"=Uzun",'[7]TABLO-1'!D4:D32873,"=ERGENE")/P7</f>
        <v>#DIV/0!</v>
      </c>
      <c r="H31" s="10" t="e">
        <f>SUMIFS('[7]TABLO-1'!R4:R32873,'[7]TABLO-1'!H4:H32873,"=İletim",'[7]TABLO-1'!J4:J32873,"=Şebeke İşletmecisi",'[7]TABLO-1'!K4:K32873,"=Bildirimsiz",'[7]TABLO-1'!I4:I32873,"=Uzun",'[7]TABLO-1'!D4:D32873,"=ERGENE")/P13</f>
        <v>#DIV/0!</v>
      </c>
      <c r="I31" s="10" t="str">
        <f>IFERROR((((G31*$P$7)+(H31*$P$13))/$P$20),"0,00")</f>
        <v>0,00</v>
      </c>
      <c r="J31" s="10">
        <f>SUMIFS('[7]TABLO-1'!S4:S32873,'[7]TABLO-1'!H4:H32873,"=İletim",'[7]TABLO-1'!J4:J32873,"=Şebeke İşletmecisi",'[7]TABLO-1'!K4:K32873,"=Bildirimsiz",'[7]TABLO-1'!I4:I32873,"=Uzun",'[7]TABLO-1'!D4:D32873,"=ERGENE")/P8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İşletmecisi",'[7]TABLO-1'!K4:K32873,"=bildirimsiz",'[7]TABLO-1'!I4:I32873,"=Uzun",'[7]TABLO-1'!D4:D32873,"=ERGENE")/P14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Sebep",'[7]TABLO-1'!K4:K32873,"=Bildirimsiz",'[7]TABLO-1'!I4:I32873,"=Uzun",'[7]TABLO-1'!D4:D32873,"=ERGENE")/P6</f>
        <v>0</v>
      </c>
      <c r="E32" s="10">
        <f>SUMIFS('[7]TABLO-1'!P4:P32873,'[7]TABLO-1'!H4:H32873,"=İletim",'[7]TABLO-1'!J4:J32873,"=Mücbir Sebep",'[7]TABLO-1'!K4:K32873,"=Bildirimsiz",'[7]TABLO-1'!I4:I32873,"=Uzun",'[7]TABLO-1'!D4:D32873,"=ERGENE")/P12</f>
        <v>0</v>
      </c>
      <c r="F32" s="10">
        <f t="shared" ref="F32:F40" si="10">IFERROR((((D32*$P$6)+(E32*$P$12))/$P$17),"0,00")</f>
        <v>0</v>
      </c>
      <c r="G32" s="10" t="e">
        <f>SUMIFS('[7]TABLO-1'!Q4:Q32873,'[7]TABLO-1'!H4:H32873,"=İletim",'[7]TABLO-1'!J4:J32873,"=Mücbir Sebep",'[7]TABLO-1'!K4:K32873,"=Bildirimsiz",'[7]TABLO-1'!I4:I32873,"=Uzun",'[7]TABLO-1'!D4:D32873,"=ERGENE")/P7</f>
        <v>#DIV/0!</v>
      </c>
      <c r="H32" s="10" t="e">
        <f>SUMIFS('[7]TABLO-1'!R4:R32873,'[7]TABLO-1'!H4:H32873,"=İletim",'[7]TABLO-1'!J4:J32873,"=Mücbir Sebep",'[7]TABLO-1'!K4:K32873,"=Bildirimsiz",'[7]TABLO-1'!I4:I32873,"=Uzun",'[7]TABLO-1'!D4:D32873,"=ERGENE")/P13</f>
        <v>#DIV/0!</v>
      </c>
      <c r="I32" s="10" t="str">
        <f t="shared" ref="I32:I40" si="11">IFERROR((((G32*$P$7)+(H32*$P$13))/$P$20),"0,00")</f>
        <v>0,00</v>
      </c>
      <c r="J32" s="10">
        <f>SUMIFS('[7]TABLO-1'!S4:S32873,'[7]TABLO-1'!H4:H32873,"=İletim",'[7]TABLO-1'!J4:J32873,"=Mücbir Sebep",'[7]TABLO-1'!K4:K32873,"=Bildirimsiz",'[7]TABLO-1'!I4:I32873,"=Uzun",'[7]TABLO-1'!D4:D32873,"=ERGENE")/P8</f>
        <v>0</v>
      </c>
      <c r="K32" s="10">
        <f>SUMIFS('[7]TABLO-1'!T4:T32873,'[7]TABLO-1'!H4:H32873,"=İletim",'[7]TABLO-1'!J4:J32873,"=Mücbir Sebep",'[7]TABLO-1'!K4:K32873,"=bildirimsiz",'[7]TABLO-1'!I4:I32873,"=Uzun",'[7]TABLO-1'!D4:D32873,"=ERGENE")/P14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İşletmecisi",'[7]TABLO-1'!K4:K32873,"=Bildirimsiz",'[7]TABLO-1'!I4:I32873,"=Uzun",'[7]TABLO-1'!D4:D32873,"=ERGENE")/P6</f>
        <v>0.60237388724035612</v>
      </c>
      <c r="E33" s="10">
        <f>SUMIFS('[7]TABLO-1'!P4:P32873,'[7]TABLO-1'!H4:H32873,"=Dağıtım-OG",'[7]TABLO-1'!J4:J32873,"=Şebeke İşletmecisi",'[7]TABLO-1'!K4:K32873,"=Bildirimsiz",'[7]TABLO-1'!I4:I32873,"=Uzun",'[7]TABLO-1'!D4:D32873,"=ERGENE")/P12</f>
        <v>1.3847292536341298</v>
      </c>
      <c r="F33" s="10">
        <f t="shared" si="10"/>
        <v>1.3694232388029375</v>
      </c>
      <c r="G33" s="10" t="e">
        <f>SUMIFS('[7]TABLO-1'!Q4:Q32873,'[7]TABLO-1'!H4:H32873,"=Dağıtım-OG",'[7]TABLO-1'!J4:J32873,"=Şebeke İşletmecisi",'[7]TABLO-1'!K4:K32873,"=Bildirimsiz",'[7]TABLO-1'!I4:I32873,"=Uzun",'[7]TABLO-1'!D4:D32873,"=ERGENE")/P7</f>
        <v>#DIV/0!</v>
      </c>
      <c r="H33" s="10" t="e">
        <f>SUMIFS('[7]TABLO-1'!R4:R32873,'[7]TABLO-1'!H4:H32873,"=Dağıtım-OG",'[7]TABLO-1'!J4:J32873,"=Şebeke İşletmecisi",'[7]TABLO-1'!K4:K32873,"=Bildirimsiz",'[7]TABLO-1'!I4:I32873,"=Uzun",'[7]TABLO-1'!D4:D32873,"=ERGENE")/P13</f>
        <v>#DIV/0!</v>
      </c>
      <c r="I33" s="10" t="str">
        <f t="shared" si="11"/>
        <v>0,00</v>
      </c>
      <c r="J33" s="10">
        <f>SUMIFS('[7]TABLO-1'!S4:S32873,'[7]TABLO-1'!H4:H32873,"=Dağıtım-OG",'[7]TABLO-1'!J4:J32873,"=Şebeke İşletmecisi",'[7]TABLO-1'!K4:K32873,"=Bildirimsiz",'[7]TABLO-1'!I4:I32873,"=Uzun",'[7]TABLO-1'!D4:D32873,"=ERGENE")/P8</f>
        <v>0.26628895184135976</v>
      </c>
      <c r="K33" s="10">
        <f>SUMIFS('[7]TABLO-1'!T4:T32873,'[7]TABLO-1'!H4:H32873,"=Dağıtım-OG",'[7]TABLO-1'!J4:J32873,"=Şebeke İşletmecisi",'[7]TABLO-1'!K4:K32873,"=bildirimsiz",'[7]TABLO-1'!I4:I32873,"=Uzun",'[7]TABLO-1'!D4:D32873,"=ERGENE")/P14</f>
        <v>0.59041501976284583</v>
      </c>
      <c r="L33" s="10">
        <f t="shared" si="12"/>
        <v>0.56441717791411039</v>
      </c>
      <c r="M33" s="11">
        <f t="shared" si="13"/>
        <v>1.2782353546792957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SUMIFS('[7]TABLO-1'!O4:O32873,'[7]TABLO-1'!H4:H32873,"=Dağıtım-OG",'[7]TABLO-1'!J4:J32873,"=Dışsal",'[7]TABLO-1'!K4:K32873,"=Bildirimsiz",'[7]TABLO-1'!I4:I32873,"=Uzun",'[7]TABLO-1'!D4:D32873,"=ERGENE")/P6</f>
        <v>0</v>
      </c>
      <c r="E34" s="10">
        <f>SUMIFS('[7]TABLO-1'!P4:P32873,'[7]TABLO-1'!H4:H32873,"=Dağıtım-OG",'[7]TABLO-1'!J4:J32873,"=Dışsal",'[7]TABLO-1'!K4:K32873,"=Bildirimsiz",'[7]TABLO-1'!I4:I32873,"=Uzun",'[7]TABLO-1'!D4:D32873,"=ERGENE")/P12</f>
        <v>2.516505314267105E-3</v>
      </c>
      <c r="F34" s="10">
        <f t="shared" si="10"/>
        <v>2.4672723578415723E-3</v>
      </c>
      <c r="G34" s="10" t="e">
        <f>SUMIFS('[7]TABLO-1'!Q4:Q32873,'[7]TABLO-1'!H4:H32873,"=Dağıtım-OG",'[7]TABLO-1'!J4:J32873,"=Dışsal",'[7]TABLO-1'!K4:K32873,"=Bildirimsiz",'[7]TABLO-1'!I4:I32873,"=Uzun",'[7]TABLO-1'!D4:D32873,"=ERGENE")/P7</f>
        <v>#DIV/0!</v>
      </c>
      <c r="H34" s="10" t="e">
        <f>SUMIFS('[7]TABLO-1'!R4:R32873,'[7]TABLO-1'!H4:H32873,"=Dağıtım-OG",'[7]TABLO-1'!J4:J32873,"=Dışsal",'[7]TABLO-1'!K4:K32873,"=Bildirimsiz",'[7]TABLO-1'!I4:I32873,"=Uzun",'[7]TABLO-1'!D4:D32873,"=ERGENE")/P13</f>
        <v>#DIV/0!</v>
      </c>
      <c r="I34" s="10" t="str">
        <f t="shared" si="11"/>
        <v>0,00</v>
      </c>
      <c r="J34" s="10">
        <f>SUMIFS('[7]TABLO-1'!S4:S32873,'[7]TABLO-1'!H4:H32873,"=Dağıtım-OG",'[7]TABLO-1'!J4:J32873,"=Dışsal",'[7]TABLO-1'!K4:K32873,"=Bildirimsiz",'[7]TABLO-1'!I4:I32873,"=Uzun",'[7]TABLO-1'!D4:D32873,"=ERGENE")/P8</f>
        <v>9.0651558073654395E-2</v>
      </c>
      <c r="K34" s="10">
        <f>SUMIFS('[7]TABLO-1'!T4:T32873,'[7]TABLO-1'!H4:H32873,"=Dağıtım-OG",'[7]TABLO-1'!J4:J32873,"=Dışsal",'[7]TABLO-1'!K4:K32873,"=bildirimsiz",'[7]TABLO-1'!I4:I32873,"=Uzun",'[7]TABLO-1'!D4:D32873,"=ERGENE")/P14</f>
        <v>0.46170948616600793</v>
      </c>
      <c r="L34" s="10">
        <f t="shared" si="12"/>
        <v>0.43194728470802091</v>
      </c>
      <c r="M34" s="11">
        <f t="shared" si="13"/>
        <v>5.1117059610830844E-2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Sebep",'[7]TABLO-1'!K4:K32873,"=Bildirimsiz",'[7]TABLO-1'!I4:I32873,"=Uzun",'[7]TABLO-1'!D4:D32873,"=ERGENE")/P6</f>
        <v>0</v>
      </c>
      <c r="E35" s="10">
        <f>SUMIFS('[7]TABLO-1'!P4:P32873,'[7]TABLO-1'!H4:H32873,"=Dağıtım-OG",'[7]TABLO-1'!J4:J32873,"=Mücbir Sebep",'[7]TABLO-1'!K4:K32873,"=Bildirimsiz",'[7]TABLO-1'!I4:I32873,"=Uzun",'[7]TABLO-1'!D4:D32873,"=ERGENE")/P12</f>
        <v>0</v>
      </c>
      <c r="F35" s="10">
        <f t="shared" si="10"/>
        <v>0</v>
      </c>
      <c r="G35" s="10" t="e">
        <f>SUMIFS('[7]TABLO-1'!Q4:Q32873,'[7]TABLO-1'!H4:H32873,"=Dağıtım-OG",'[7]TABLO-1'!J4:J32873,"=Mücbir Sebep",'[7]TABLO-1'!K4:K32873,"=Bildirimsiz",'[7]TABLO-1'!I4:I32873,"=Uzun",'[7]TABLO-1'!D4:D32873,"=ERGENE")/P7</f>
        <v>#DIV/0!</v>
      </c>
      <c r="H35" s="10" t="e">
        <f>SUMIFS('[7]TABLO-1'!R4:R32873,'[7]TABLO-1'!H4:H32873,"=Dağıtım-OG",'[7]TABLO-1'!J4:J32873,"=Mücbir Sebep",'[7]TABLO-1'!K4:K32873,"=Bildirimsiz",'[7]TABLO-1'!I4:I32873,"=Uzun",'[7]TABLO-1'!D4:D32873,"=ERGENE")/P13</f>
        <v>#DIV/0!</v>
      </c>
      <c r="I35" s="10" t="str">
        <f t="shared" si="11"/>
        <v>0,00</v>
      </c>
      <c r="J35" s="10">
        <f>SUMIFS('[7]TABLO-1'!S4:S32873,'[7]TABLO-1'!H4:H32873,"=Dağıtım-OG",'[7]TABLO-1'!J4:J32873,"=Mücbir Sebep",'[7]TABLO-1'!K4:K32873,"=Bildirimsiz",'[7]TABLO-1'!I4:I32873,"=Uzun",'[7]TABLO-1'!D4:D32873,"=ERGENE")/P8</f>
        <v>0</v>
      </c>
      <c r="K35" s="10">
        <f>SUMIFS('[7]TABLO-1'!T4:T32873,'[7]TABLO-1'!H4:H32873,"=Dağıtım-OG",'[7]TABLO-1'!J4:J32873,"=Mücbir Sebep",'[7]TABLO-1'!K4:K32873,"=bildirimsiz",'[7]TABLO-1'!I4:I32873,"=Uzun",'[7]TABLO-1'!D4:D32873,"=ERGENE")/P14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SUMIFS('[7]TABLO-1'!O4:O32873,'[7]TABLO-1'!H4:H32873,"=Dağıtım-OG",'[7]TABLO-1'!J4:J32873,"=Güvenlik",'[7]TABLO-1'!K4:K32873,"=Bildirimsiz",'[7]TABLO-1'!I4:I32873,"=Uzun",'[7]TABLO-1'!D4:D32873,"=ERGENE")/P6</f>
        <v>0</v>
      </c>
      <c r="E36" s="10">
        <f>SUMIFS('[7]TABLO-1'!P4:P32873,'[7]TABLO-1'!H4:H32873,"=Dağıtım-OG",'[7]TABLO-1'!J4:J32873,"=Güvenlik",'[7]TABLO-1'!K4:K32873,"=Bildirimsiz",'[7]TABLO-1'!I4:I32873,"=Uzun",'[7]TABLO-1'!D4:D32873,"=ERGENE")/P12</f>
        <v>0</v>
      </c>
      <c r="F36" s="10">
        <f t="shared" si="10"/>
        <v>0</v>
      </c>
      <c r="G36" s="10" t="e">
        <f>SUMIFS('[7]TABLO-1'!Q4:Q32873,'[7]TABLO-1'!H4:H32873,"=Dağıtım-OG",'[7]TABLO-1'!J4:J32873,"=Güvenlik",'[7]TABLO-1'!K4:K32873,"=Bildirimsiz",'[7]TABLO-1'!I4:I32873,"=Uzun",'[7]TABLO-1'!D4:D32873,"=ERGENE")/P7</f>
        <v>#DIV/0!</v>
      </c>
      <c r="H36" s="10" t="e">
        <f>SUMIFS('[7]TABLO-1'!R4:R32873,'[7]TABLO-1'!H4:H32873,"=Dağıtım-OG",'[7]TABLO-1'!J4:J32873,"=Güvenlik",'[7]TABLO-1'!K4:K32873,"=Bildirimsiz",'[7]TABLO-1'!I4:I32873,"=Uzun",'[7]TABLO-1'!D4:D32873,"=ERGENE")/P13</f>
        <v>#DIV/0!</v>
      </c>
      <c r="I36" s="10" t="str">
        <f t="shared" si="11"/>
        <v>0,00</v>
      </c>
      <c r="J36" s="10">
        <f>SUMIFS('[7]TABLO-1'!S4:S32873,'[7]TABLO-1'!H4:H32873,"=Dağıtım-OG",'[7]TABLO-1'!J4:J32873,"=Güvenlik",'[7]TABLO-1'!K4:K32873,"=Bildirimsiz",'[7]TABLO-1'!I4:I32873,"=Uzun",'[7]TABLO-1'!D4:D32873,"=ERGENE")/P8</f>
        <v>0</v>
      </c>
      <c r="K36" s="10">
        <f>SUMIFS('[7]TABLO-1'!T4:T32873,'[7]TABLO-1'!H4:H32873,"=Dağıtım-OG",'[7]TABLO-1'!J4:J32873,"=Güvenlik",'[7]TABLO-1'!K4:K32873,"=bildirimsiz",'[7]TABLO-1'!I4:I32873,"=Uzun",'[7]TABLO-1'!D4:D32873,"=ERGENE")/P14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İşletmecisi",'[7]TABLO-1'!K4:K32873,"=Bildirimsiz",'[7]TABLO-1'!I4:I32873,"=Uzun",'[7]TABLO-1'!D4:D32873,"=ERGENE")/P6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İşletmecisi",'[7]TABLO-1'!K4:K32873,"=Bildirimsiz",'[7]TABLO-1'!I4:I32873,"=Uzun",'[7]TABLO-1'!D4:D32873,"=ERGENE")/P12</f>
        <v>9.6544986233235638E-2</v>
      </c>
      <c r="F37" s="10">
        <f t="shared" si="10"/>
        <v>9.4656178340251376E-2</v>
      </c>
      <c r="G37" s="12" t="e">
        <f>SUMIFS('[7]TABLO-1'!Q4:Q32873,'[7]TABLO-1'!H4:H32873,"=Dağıtım-AG",'[7]TABLO-1'!J4:J32873,"=Şebeke İşletmecisi",'[7]TABLO-1'!K4:K32873,"=Bildirimsiz",'[7]TABLO-1'!I4:I32873,"=Uzun",'[7]TABLO-1'!D4:D32873,"=ERGENE")/P7</f>
        <v>#DIV/0!</v>
      </c>
      <c r="H37" s="10" t="e">
        <f>SUMIFS('[7]TABLO-1'!R4:R32873,'[7]TABLO-1'!H4:H32873,"=Dağıtım-AG",'[7]TABLO-1'!J4:J32873,"=Şebeke İşletmecisi",'[7]TABLO-1'!K4:K32873,"=Bildirimsiz",'[7]TABLO-1'!I4:I32873,"=Uzun",'[7]TABLO-1'!D4:D32873,"=ERGENE")/P13</f>
        <v>#DIV/0!</v>
      </c>
      <c r="I37" s="10" t="str">
        <f t="shared" si="11"/>
        <v>0,00</v>
      </c>
      <c r="J37" s="12">
        <f>SUMIFS('[7]TABLO-1'!S4:S32873,'[7]TABLO-1'!H4:H32873,"=Dağıtım-AG",'[7]TABLO-1'!J4:J32873,"=Şebeke İşletmecisi",'[7]TABLO-1'!K4:K32873,"=Bildirimsiz",'[7]TABLO-1'!I4:I32873,"=Uzun",'[7]TABLO-1'!D4:D32873,"=ERGENE")/P8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İşletmecisi",'[7]TABLO-1'!K4:K32873,"=bildirimsiz",'[7]TABLO-1'!I4:I32873,"=Uzun",'[7]TABLO-1'!D4:D32873,"=ERGENE")/P14</f>
        <v>7.2875494071146241E-2</v>
      </c>
      <c r="L37" s="10">
        <f t="shared" si="12"/>
        <v>6.7030220404453528E-2</v>
      </c>
      <c r="M37" s="11">
        <f t="shared" si="13"/>
        <v>9.1526819726140227E-2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SUMIFS('[7]TABLO-1'!O4:O32873,'[7]TABLO-1'!H4:H32873,"=Dağıtım-AG",'[7]TABLO-1'!J4:J32873,"=Dışsal",'[7]TABLO-1'!K4:K32873,"=Bildirimsiz",'[7]TABLO-1'!I4:I32873,"=Uzun",'[7]TABLO-1'!D4:D32873,"=ERGENE")/P6</f>
        <v>0</v>
      </c>
      <c r="E38" s="10">
        <f>SUMIFS('[7]TABLO-1'!P4:P32873,'[7]TABLO-1'!H4:H32873,"=Dağıtım-AG",'[7]TABLO-1'!J4:J32873,"=Dışsal",'[7]TABLO-1'!K4:K32873,"=Bildirimsiz",'[7]TABLO-1'!I4:I32873,"=Uzun",'[7]TABLO-1'!D4:D32873,"=ERGENE")/P12</f>
        <v>1.4506912988128016E-3</v>
      </c>
      <c r="F38" s="10">
        <f t="shared" si="10"/>
        <v>1.4223099474616121E-3</v>
      </c>
      <c r="G38" s="12" t="e">
        <f>SUMIFS('[7]TABLO-1'!Q4:Q32873,'[7]TABLO-1'!H4:H32873,"=Dağıtım-AG",'[7]TABLO-1'!J4:J32873,"=Dışsal",'[7]TABLO-1'!K4:K32873,"=Bildirimsiz",'[7]TABLO-1'!I4:I32873,"=Uzun",'[7]TABLO-1'!D4:D32873,"=ERGENE")/P7</f>
        <v>#DIV/0!</v>
      </c>
      <c r="H38" s="10" t="e">
        <f>SUMIFS('[7]TABLO-1'!R4:R32873,'[7]TABLO-1'!H4:H32873,"=Dağıtım-AG",'[7]TABLO-1'!J4:J32873,"=Dışsal",'[7]TABLO-1'!K4:K32873,"=Bildirimsiz",'[7]TABLO-1'!I4:I32873,"=Uzun",'[7]TABLO-1'!D4:D32873,"=ERGENE")/P13</f>
        <v>#DIV/0!</v>
      </c>
      <c r="I38" s="10" t="str">
        <f t="shared" si="11"/>
        <v>0,00</v>
      </c>
      <c r="J38" s="12">
        <f>SUMIFS('[7]TABLO-1'!S4:S32873,'[7]TABLO-1'!H4:H32873,"=Dağıtım-AG",'[7]TABLO-1'!J4:J32873,"=Dışsal",'[7]TABLO-1'!K4:K32873,"=Bildirimsiz",'[7]TABLO-1'!I4:I32873,"=Uzun",'[7]TABLO-1'!D4:D32873,"=ERGENE")/P8</f>
        <v>0</v>
      </c>
      <c r="K38" s="10">
        <f>SUMIFS('[7]TABLO-1'!T4:T32873,'[7]TABLO-1'!H4:H32873,"=Dağıtım-AG",'[7]TABLO-1'!J4:J32873,"=Dışsal",'[7]TABLO-1'!K4:K32873,"=bildirimsiz",'[7]TABLO-1'!I4:I32873,"=Uzun",'[7]TABLO-1'!D4:D32873,"=ERGENE")/P14</f>
        <v>4.9407114624505926E-4</v>
      </c>
      <c r="L38" s="10">
        <f t="shared" si="12"/>
        <v>4.5444217223358324E-4</v>
      </c>
      <c r="M38" s="11">
        <f t="shared" si="13"/>
        <v>1.3126737362297951E-3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Sebep",'[7]TABLO-1'!K4:K32873,"=Bildirimsiz",'[7]TABLO-1'!I4:I32873,"=Uzun",'[7]TABLO-1'!D4:D32873,"=ERGENE")/P6</f>
        <v>0</v>
      </c>
      <c r="E39" s="10">
        <f>SUMIFS('[7]TABLO-1'!P4:P32873,'[7]TABLO-1'!H4:H32873,"=Dağıtım-AG",'[7]TABLO-1'!J4:J32873,"=Mücbir Sebep",'[7]TABLO-1'!K4:K32873,"=Bildirimsiz",'[7]TABLO-1'!I4:I32873,"=Uzun",'[7]TABLO-1'!D4:D32873,"=ERGENE")/P12</f>
        <v>0</v>
      </c>
      <c r="F39" s="10">
        <f t="shared" si="10"/>
        <v>0</v>
      </c>
      <c r="G39" s="12" t="e">
        <f>SUMIFS('[7]TABLO-1'!Q4:Q32873,'[7]TABLO-1'!H4:H32873,"=Dağıtım-AG",'[7]TABLO-1'!J4:J32873,"=Mücbir Sebep",'[7]TABLO-1'!K4:K32873,"=Bildirimsiz",'[7]TABLO-1'!I4:I32873,"=Uzun",'[7]TABLO-1'!D4:D32873,"=ERGENE")/P7</f>
        <v>#DIV/0!</v>
      </c>
      <c r="H39" s="10" t="e">
        <f>SUMIFS('[7]TABLO-1'!R4:R32873,'[7]TABLO-1'!H4:H32873,"=Dağıtım-AG",'[7]TABLO-1'!J4:J32873,"=Mücbir Sebep",'[7]TABLO-1'!K4:K32873,"=Bildirimsiz",'[7]TABLO-1'!I4:I32873,"=Uzun",'[7]TABLO-1'!D4:D32873,"=ERGENE")/P13</f>
        <v>#DIV/0!</v>
      </c>
      <c r="I39" s="10" t="str">
        <f t="shared" si="11"/>
        <v>0,00</v>
      </c>
      <c r="J39" s="12">
        <f>SUMIFS('[7]TABLO-1'!S4:S32873,'[7]TABLO-1'!H4:H32873,"=Dağıtım-AG",'[7]TABLO-1'!J4:J32873,"=Mücbir Sebep",'[7]TABLO-1'!K4:K32873,"=Bildirimsiz",'[7]TABLO-1'!I4:I32873,"=Uzun",'[7]TABLO-1'!D4:D32873,"=ERGENE")/P8</f>
        <v>0</v>
      </c>
      <c r="K39" s="10">
        <f>SUMIFS('[7]TABLO-1'!T4:T32873,'[7]TABLO-1'!H4:H32873,"=Dağıtım-AG",'[7]TABLO-1'!J4:J32873,"=Mücbir Sebep",'[7]TABLO-1'!K4:K32873,"=bildirimsiz",'[7]TABLO-1'!I4:I32873,"=Uzun",'[7]TABLO-1'!D4:D32873,"=ERGENE")/P14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SUMIFS('[7]TABLO-1'!O4:O32873,'[7]TABLO-1'!H4:H32873,"=Dağıtım-AG",'[7]TABLO-1'!J4:J32873,"=Güvenlik",'[7]TABLO-1'!K4:K32873,"=Bildirimsiz",'[7]TABLO-1'!I4:I32873,"=Uzun",'[7]TABLO-1'!D4:D32873,"=ERGENE")/P6</f>
        <v>0</v>
      </c>
      <c r="E40" s="10">
        <f>SUMIFS('[7]TABLO-1'!P4:P32873,'[7]TABLO-1'!H4:H32873,"=Dağıtım-AG",'[7]TABLO-1'!J4:J32873,"=Güvenlik",'[7]TABLO-1'!K4:K32873,"=Bildirimsiz",'[7]TABLO-1'!I4:I32873,"=Uzun",'[7]TABLO-1'!D4:D32873,"=ERGENE")/P12</f>
        <v>0</v>
      </c>
      <c r="F40" s="10">
        <f t="shared" si="10"/>
        <v>0</v>
      </c>
      <c r="G40" s="12" t="e">
        <f>SUMIFS('[7]TABLO-1'!Q4:Q32873,'[7]TABLO-1'!H4:H32873,"=Dağıtım-AG",'[7]TABLO-1'!J4:J32873,"=Güvenlik",'[7]TABLO-1'!K4:K32873,"=Bildirimsiz",'[7]TABLO-1'!I4:I32873,"=Uzun",'[7]TABLO-1'!D4:D32873,"=ERGENE")/P7</f>
        <v>#DIV/0!</v>
      </c>
      <c r="H40" s="10" t="e">
        <f>SUMIFS('[7]TABLO-1'!R4:R32873,'[7]TABLO-1'!H4:H32873,"=Dağıtım-AG",'[7]TABLO-1'!J4:J32873,"=Güvenlik",'[7]TABLO-1'!K4:K32873,"=Bildirimsiz",'[7]TABLO-1'!I4:I32873,"=Uzun",'[7]TABLO-1'!D4:D32873,"=ERGENE")/P13</f>
        <v>#DIV/0!</v>
      </c>
      <c r="I40" s="10" t="str">
        <f t="shared" si="11"/>
        <v>0,00</v>
      </c>
      <c r="J40" s="12">
        <f>SUMIFS('[7]TABLO-1'!S4:S32873,'[7]TABLO-1'!H4:H32873,"=Dağıtım-AG",'[7]TABLO-1'!J4:J32873,"=Güvenlik",'[7]TABLO-1'!K4:K32873,"=Bildirimsiz",'[7]TABLO-1'!I4:I32873,"=Uzun",'[7]TABLO-1'!D4:D32873,"=ERGENE")/P8</f>
        <v>0</v>
      </c>
      <c r="K40" s="10">
        <f>SUMIFS('[7]TABLO-1'!T4:T32873,'[7]TABLO-1'!H4:H32873,"=Dağıtım-AG",'[7]TABLO-1'!J4:J32873,"=Güvenlik",'[7]TABLO-1'!K4:K32873,"=bildirimsiz",'[7]TABLO-1'!I4:I32873,"=Uzun",'[7]TABLO-1'!D4:D32873,"=ERGENE")/P14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0.60237388724035612</v>
      </c>
      <c r="E41" s="10">
        <f t="shared" ref="E41:M41" si="14">SUM(E31:E40)</f>
        <v>1.4852414364804454</v>
      </c>
      <c r="F41" s="10">
        <f t="shared" si="14"/>
        <v>1.4679689994484919</v>
      </c>
      <c r="G41" s="10" t="e">
        <f t="shared" si="14"/>
        <v>#DIV/0!</v>
      </c>
      <c r="H41" s="10" t="e">
        <f t="shared" si="14"/>
        <v>#DIV/0!</v>
      </c>
      <c r="I41" s="10">
        <f t="shared" si="14"/>
        <v>0</v>
      </c>
      <c r="J41" s="10">
        <f t="shared" si="14"/>
        <v>0.35694050991501414</v>
      </c>
      <c r="K41" s="10">
        <f t="shared" si="14"/>
        <v>1.1254940711462451</v>
      </c>
      <c r="L41" s="10">
        <f t="shared" si="14"/>
        <v>1.0638491251988185</v>
      </c>
      <c r="M41" s="10">
        <f t="shared" si="14"/>
        <v>1.4221919077524967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İşletmecisi",'[7]TABLO-1'!K4:K32873,"=Bildirimli",'[7]TABLO-1'!I4:I32873,"=Uzun",'[7]TABLO-1'!D4:D32873,"=ERGENE")/P6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İşletmecisi",'[7]TABLO-1'!K4:K32873,"=Bildirimli",'[7]TABLO-1'!I4:I32873,"=Uzun",'[7]TABLO-1'!D4:D32873,"=ERGENE")/P12</f>
        <v>0</v>
      </c>
      <c r="F46" s="10">
        <f>IFERROR((((D46*$P$6)+(E46*$P$12))/$P$17),"0,00")</f>
        <v>0</v>
      </c>
      <c r="G46" s="10" t="e">
        <f>SUMIFS('[7]TABLO-1'!Q4:Q32873,'[7]TABLO-1'!H4:H32873,"=İletim",'[7]TABLO-1'!J4:J32873,"=Şebeke İşletmecisi",'[7]TABLO-1'!K4:K32873,"=Bildirimli",'[7]TABLO-1'!I4:I32873,"=Uzun",'[7]TABLO-1'!D4:D32873,"=ERGENE")/P7</f>
        <v>#DIV/0!</v>
      </c>
      <c r="H46" s="10" t="e">
        <f>SUMIFS('[7]TABLO-1'!R4:R32873,'[7]TABLO-1'!H4:H32873,"=İletim",'[7]TABLO-1'!J4:J32873,"=Şebeke İşletmecisi",'[7]TABLO-1'!K4:K32873,"=Bildirimli",'[7]TABLO-1'!I4:I32873,"=Uzun",'[7]TABLO-1'!D4:D32873,"=ERGENE")/P13</f>
        <v>#DIV/0!</v>
      </c>
      <c r="I46" s="10" t="str">
        <f>IFERROR((((G46*$P$7)+(H46*$P$13))/$P$20),"0,00")</f>
        <v>0,00</v>
      </c>
      <c r="J46" s="10">
        <f>SUMIFS('[7]TABLO-1'!S4:S32873,'[7]TABLO-1'!H4:H32873,"=İletim",'[7]TABLO-1'!J4:J32873,"=Şebeke İşletmecisi",'[7]TABLO-1'!K4:K32873,"=Bildirimli",'[7]TABLO-1'!I4:I32873,"=Uzun",'[7]TABLO-1'!D4:D32873,"=ERGENE")/P8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İşletmecisi",'[7]TABLO-1'!K4:K32873,"=bildirimli",'[7]TABLO-1'!I4:I32873,"=Uzun",'[7]TABLO-1'!D4:D32873,"=ERGENE")/P14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İşletmecisi",'[7]TABLO-1'!K4:K32873,"=Bildirimli",'[7]TABLO-1'!I4:I32873,"=Uzun",'[7]TABLO-1'!D4:D32873,"=ERGENE")/P6</f>
        <v>0.34124629080118696</v>
      </c>
      <c r="E47" s="10">
        <f>SUMIFS('[7]TABLO-1'!P4:P32873,'[7]TABLO-1'!H4:H32873,"=Dağıtım-OG",'[7]TABLO-1'!J4:J32873,"=Şebeke İşletmecisi",'[7]TABLO-1'!K4:K32873,"=Bildirimli",'[7]TABLO-1'!I4:I32873,"=Uzun",'[7]TABLO-1'!D4:D32873,"=ERGENE")/P12</f>
        <v>0.28785860200728308</v>
      </c>
      <c r="F47" s="10">
        <f t="shared" ref="F47:F50" si="15">IFERROR((((D47*$P$6)+(E47*$P$12))/$P$17),"0,00")</f>
        <v>0.28890307973643725</v>
      </c>
      <c r="G47" s="10" t="e">
        <f>SUMIFS('[7]TABLO-1'!Q4:Q32873,'[7]TABLO-1'!H4:H32873,"=Dağıtım-OG",'[7]TABLO-1'!J4:J32873,"=Şebeke İşletmecisi",'[7]TABLO-1'!K4:K32873,"=Bildirimli",'[7]TABLO-1'!I4:I32873,"=Uzun",'[7]TABLO-1'!D4:D32873,"=ERGENE")/P7</f>
        <v>#DIV/0!</v>
      </c>
      <c r="H47" s="10" t="e">
        <f>SUMIFS('[7]TABLO-1'!R4:R32873,'[7]TABLO-1'!H4:H32873,"=Dağıtım-OG",'[7]TABLO-1'!J4:J32873,"=Şebeke İşletmecisi",'[7]TABLO-1'!K4:K32873,"=Bildirimli",'[7]TABLO-1'!I4:I32873,"=Uzun",'[7]TABLO-1'!D4:D32873,"=ERGENE")/P13</f>
        <v>#DIV/0!</v>
      </c>
      <c r="I47" s="10" t="str">
        <f t="shared" ref="I47:I50" si="16">IFERROR((((G47*$P$7)+(H47*$P$13))/$P$20),"0,00")</f>
        <v>0,00</v>
      </c>
      <c r="J47" s="10">
        <f>SUMIFS('[7]TABLO-1'!S4:S32873,'[7]TABLO-1'!H4:H32873,"=Dağıtım-OG",'[7]TABLO-1'!J4:J32873,"=Şebeke İşletmecisi",'[7]TABLO-1'!K4:K32873,"=Bildirimli",'[7]TABLO-1'!I4:I32873,"=Uzun",'[7]TABLO-1'!D4:D32873,"=ERGENE")/P8</f>
        <v>0.16713881019830029</v>
      </c>
      <c r="K47" s="10">
        <f>SUMIFS('[7]TABLO-1'!T4:T32873,'[7]TABLO-1'!H4:H32873,"=Dağıtım-OG",'[7]TABLO-1'!J4:J32873,"=Şebeke İşletmecisi",'[7]TABLO-1'!K4:K32873,"=bildirimli",'[7]TABLO-1'!I4:I32873,"=Uzun",'[7]TABLO-1'!D4:D32873,"=ERGENE")/P14</f>
        <v>5.681818181818182E-3</v>
      </c>
      <c r="L47" s="10">
        <f t="shared" ref="L47:L50" si="17">IFERROR((((J47*$P$8)+(K47*$P$14))/$P$23),"0,00")</f>
        <v>1.8632129061576914E-2</v>
      </c>
      <c r="M47" s="11">
        <f t="shared" ref="M47:M50" si="18">IFERROR((((F47*$P$17)+(I47*$P$20)+(L47*$P$23))/$P$26),"0,00")</f>
        <v>0.25828786162874501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SUMIFS('[7]TABLO-1'!O4:O32873,'[7]TABLO-1'!H4:H32873,"=Dağıtım-OG",'[7]TABLO-1'!J4:J32873,"=Güvenlik",'[7]TABLO-1'!K4:K32873,"=Bildirimli",'[7]TABLO-1'!I4:I32873,"=Uzun",'[7]TABLO-1'!D4:D32873,"=ERGENE")/P6</f>
        <v>0</v>
      </c>
      <c r="E48" s="10">
        <f>SUMIFS('[7]TABLO-1'!P4:P32873,'[7]TABLO-1'!H4:H32873,"=Dağıtım-OG",'[7]TABLO-1'!J4:J32873,"=Güvenlik",'[7]TABLO-1'!K4:K32873,"=Bildirimli",'[7]TABLO-1'!I4:I32873,"=Uzun",'[7]TABLO-1'!D4:D32873,"=ERGENE")/P12</f>
        <v>0</v>
      </c>
      <c r="F48" s="10">
        <f t="shared" si="15"/>
        <v>0</v>
      </c>
      <c r="G48" s="10" t="e">
        <f>SUMIFS('[7]TABLO-1'!Q4:Q32873,'[7]TABLO-1'!H4:H32873,"=Dağıtım-OG",'[7]TABLO-1'!J4:J32873,"=Güvenlik",'[7]TABLO-1'!K4:K32873,"=Bildirimli",'[7]TABLO-1'!I4:I32873,"=Uzun",'[7]TABLO-1'!D4:D32873,"=ERGENE")/P7</f>
        <v>#DIV/0!</v>
      </c>
      <c r="H48" s="10" t="e">
        <f>SUMIFS('[7]TABLO-1'!R4:R32873,'[7]TABLO-1'!H4:H32873,"=Dağıtım-OG",'[7]TABLO-1'!J4:J32873,"=Güvenlik",'[7]TABLO-1'!K4:K32873,"=Bildirimli",'[7]TABLO-1'!I4:I32873,"=Uzun",'[7]TABLO-1'!D4:D32873,"=ERGENE")/P13</f>
        <v>#DIV/0!</v>
      </c>
      <c r="I48" s="10" t="str">
        <f t="shared" si="16"/>
        <v>0,00</v>
      </c>
      <c r="J48" s="10">
        <f>SUMIFS('[7]TABLO-1'!S4:S32873,'[7]TABLO-1'!H4:H32873,"=Dağıtım-OG",'[7]TABLO-1'!J4:J32873,"=Güvenlik",'[7]TABLO-1'!K4:K32873,"=Bildirimli",'[7]TABLO-1'!I4:I32873,"=Uzun",'[7]TABLO-1'!D4:D32873,"=ERGENE")/P8</f>
        <v>0</v>
      </c>
      <c r="K48" s="10">
        <f>SUMIFS('[7]TABLO-1'!T4:T32873,'[7]TABLO-1'!H4:H32873,"=Dağıtım-OG",'[7]TABLO-1'!J4:J32873,"=Güvenlik",'[7]TABLO-1'!K4:K32873,"=bildirimli",'[7]TABLO-1'!I4:I32873,"=Uzun",'[7]TABLO-1'!D4:D32873,"=ERGENE")/P14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İşletmecisi",'[7]TABLO-1'!K4:K32873,"=Bildirimli",'[7]TABLO-1'!I4:I32873,"=Uzun",'[7]TABLO-1'!D4:D32873,"=ERGENE")/P6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İşletmecisi",'[7]TABLO-1'!K4:K32873,"=Bildirimli",'[7]TABLO-1'!I4:I32873,"=Uzun",'[7]TABLO-1'!D4:D32873,"=ERGENE")/P12</f>
        <v>4.5297095656807885E-3</v>
      </c>
      <c r="F49" s="10">
        <f t="shared" si="15"/>
        <v>4.4410902441148299E-3</v>
      </c>
      <c r="G49" s="12" t="e">
        <f>SUMIFS('[7]TABLO-1'!Q4:Q32873,'[7]TABLO-1'!H4:H32873,"=Dağıtım-AG",'[7]TABLO-1'!J4:J32873,"=Şebeke İşletmecisi",'[7]TABLO-1'!K4:K32873,"=Bildirimli",'[7]TABLO-1'!I4:I32873,"=Uzun",'[7]TABLO-1'!D4:D32873,"=ERGENE")/P7</f>
        <v>#DIV/0!</v>
      </c>
      <c r="H49" s="10" t="e">
        <f>SUMIFS('[7]TABLO-1'!R4:R32873,'[7]TABLO-1'!H4:H32873,"=Dağıtım-AG",'[7]TABLO-1'!J4:J32873,"=Şebeke İşletmecisi",'[7]TABLO-1'!K4:K32873,"=Bildirimli",'[7]TABLO-1'!I4:I32873,"=Uzun",'[7]TABLO-1'!D4:D32873,"=ERGENE")/P13</f>
        <v>#DIV/0!</v>
      </c>
      <c r="I49" s="10" t="str">
        <f t="shared" si="16"/>
        <v>0,00</v>
      </c>
      <c r="J49" s="12">
        <f>SUMIFS('[7]TABLO-1'!S4:S32873,'[7]TABLO-1'!H4:H32873,"=Dağıtım-AG",'[7]TABLO-1'!J4:J32873,"=Şebeke İşletmecisi",'[7]TABLO-1'!K4:K32873,"=Bildirimli",'[7]TABLO-1'!I4:I32873,"=Uzun",'[7]TABLO-1'!D4:D32873,"=ERGENE")/P8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İşletmecisi",'[7]TABLO-1'!K4:K32873,"=bildirimli",'[7]TABLO-1'!I4:I32873,"=Uzun",'[7]TABLO-1'!D4:D32873,"=ERGENE")/P14</f>
        <v>0</v>
      </c>
      <c r="L49" s="10">
        <f t="shared" si="17"/>
        <v>0</v>
      </c>
      <c r="M49" s="11">
        <f t="shared" si="18"/>
        <v>3.9380212086893851E-3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SUMIFS('[7]TABLO-1'!O4:O32873,'[7]TABLO-1'!H4:H32873,"=Dağıtım-AG",'[7]TABLO-1'!J4:J32873,"=Güvenlik",'[7]TABLO-1'!K4:K32873,"=Bildirimli",'[7]TABLO-1'!I4:I32873,"=Uzun",'[7]TABLO-1'!D4:D32873,"=ERGENE")/P6</f>
        <v>0</v>
      </c>
      <c r="E50" s="10">
        <f>SUMIFS('[7]TABLO-1'!P4:P32873,'[7]TABLO-1'!H4:H32873,"=Dağıtım-AG",'[7]TABLO-1'!J4:J32873,"=Güvenlik",'[7]TABLO-1'!K4:K32873,"=Bildirimli",'[7]TABLO-1'!I4:I32873,"=Uzun",'[7]TABLO-1'!D4:D32873,"=ERGENE")/P12</f>
        <v>0</v>
      </c>
      <c r="F50" s="10">
        <f t="shared" si="15"/>
        <v>0</v>
      </c>
      <c r="G50" s="12" t="e">
        <f>SUMIFS('[7]TABLO-1'!Q4:Q32873,'[7]TABLO-1'!H4:H32873,"=Dağıtım-AG",'[7]TABLO-1'!J4:J32873,"=Güvenlik",'[7]TABLO-1'!K4:K32873,"=Bildirimli",'[7]TABLO-1'!I4:I32873,"=Uzun",'[7]TABLO-1'!D4:D32873,"=ERGENE")/P7</f>
        <v>#DIV/0!</v>
      </c>
      <c r="H50" s="10" t="e">
        <f>SUMIFS('[7]TABLO-1'!R4:R32873,'[7]TABLO-1'!H4:H32873,"=Dağıtım-AG",'[7]TABLO-1'!J4:J32873,"=Güvenlik",'[7]TABLO-1'!K4:K32873,"=Bildirimli",'[7]TABLO-1'!I4:I32873,"=Uzun",'[7]TABLO-1'!D4:D32873,"=ERGENE")/P13</f>
        <v>#DIV/0!</v>
      </c>
      <c r="I50" s="10" t="str">
        <f t="shared" si="16"/>
        <v>0,00</v>
      </c>
      <c r="J50" s="12">
        <f>SUMIFS('[7]TABLO-1'!S4:S32873,'[7]TABLO-1'!H4:H32873,"=Dağıtım-AG",'[7]TABLO-1'!J4:J32873,"=Güvenlik",'[7]TABLO-1'!K4:K32873,"=Bildirimli",'[7]TABLO-1'!I4:I32873,"=Uzun",'[7]TABLO-1'!D4:D32873,"=ERGENE")/P8</f>
        <v>0</v>
      </c>
      <c r="K50" s="10">
        <f>SUMIFS('[7]TABLO-1'!T4:T32873,'[7]TABLO-1'!H4:H32873,"=Dağıtım-AG",'[7]TABLO-1'!J4:J32873,"=Güvenlik",'[7]TABLO-1'!K4:K32873,"=bildirimli",'[7]TABLO-1'!I4:I32873,"=Uzun",'[7]TABLO-1'!D4:D32873,"=ERGENE")/P14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0.34124629080118696</v>
      </c>
      <c r="E51" s="10">
        <f t="shared" ref="E51:M51" si="19">SUM(E46:E50)</f>
        <v>0.29238831157296385</v>
      </c>
      <c r="F51" s="10">
        <f t="shared" si="19"/>
        <v>0.29334416998055207</v>
      </c>
      <c r="G51" s="10" t="e">
        <f t="shared" si="19"/>
        <v>#DIV/0!</v>
      </c>
      <c r="H51" s="10" t="e">
        <f t="shared" si="19"/>
        <v>#DIV/0!</v>
      </c>
      <c r="I51" s="10">
        <f t="shared" si="19"/>
        <v>0</v>
      </c>
      <c r="J51" s="10">
        <f t="shared" si="19"/>
        <v>0.16713881019830029</v>
      </c>
      <c r="K51" s="10">
        <f t="shared" si="19"/>
        <v>5.681818181818182E-3</v>
      </c>
      <c r="L51" s="10">
        <f t="shared" si="19"/>
        <v>1.8632129061576914E-2</v>
      </c>
      <c r="M51" s="10">
        <f t="shared" si="19"/>
        <v>0.26222588283743442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SUMIFS('[7]TABLO-1'!O1:O32873,'[7]TABLO-1'!H1:H32873,"=İletim",'[7]TABLO-1'!K1:K32873,"=Bildirimsiz",'[7]TABLO-1'!I1:I32873,"=Kısa",'[7]TABLO-1'!D1:D32873,"=ERGENE")/P6</f>
        <v>0</v>
      </c>
      <c r="D56" s="10">
        <f>SUMIFS('[7]TABLO-1'!P1:P32873,'[7]TABLO-1'!H1:H32873,"=İletim",'[7]TABLO-1'!K1:K32873,"=Bildirimsiz",'[7]TABLO-1'!I1:I32873,"=Kısa",'[7]TABLO-1'!D1:D32873,"=ERGENE")/P12</f>
        <v>0</v>
      </c>
      <c r="E56" s="10">
        <f>IFERROR((((C56*$P$6)+(D56*$P$12))/$P$17),"0,00")</f>
        <v>0</v>
      </c>
      <c r="F56" s="10" t="e">
        <f>SUMIFS('[7]TABLO-1'!Q1:Q32873,'[7]TABLO-1'!H1:H32873,"=İletim",'[7]TABLO-1'!K1:K32873,"=Bildirimsiz",'[7]TABLO-1'!I1:I32873,"=Kısa",'[7]TABLO-1'!D1:D32873,"=ERGENE")/P7</f>
        <v>#DIV/0!</v>
      </c>
      <c r="G56" s="10" t="e">
        <f>SUMIFS('[7]TABLO-1'!R1:R32873,'[7]TABLO-1'!H1:H32873,"=İletim",'[7]TABLO-1'!K1:K32873,"=Bildirimsiz",'[7]TABLO-1'!I1:I32873,"=Kısa",'[7]TABLO-1'!D1:D32873,"=ERGENE")/P13</f>
        <v>#DIV/0!</v>
      </c>
      <c r="H56" s="10" t="str">
        <f>IFERROR((((F56*$P$7)+(G56*$P$13))/$P$20),"0,00")</f>
        <v>0,00</v>
      </c>
      <c r="I56" s="10">
        <f>SUMIFS('[7]TABLO-1'!S1:S32873,'[7]TABLO-1'!H1:H32873,"=İletim",'[7]TABLO-1'!K1:K32873,"=Bildirimsiz",'[7]TABLO-1'!I1:I32873,"=Kısa",'[7]TABLO-1'!D1:D32873,"=ERGENE")/P8</f>
        <v>0</v>
      </c>
      <c r="J56" s="10">
        <f>SUMIFS('[7]TABLO-1'!T1:T32873,'[7]TABLO-1'!H1:H32873,"=İletim",'[7]TABLO-1'!K1:K32873,"=Bildirimsiz",'[7]TABLO-1'!I1:I32873,"=Kısa",'[7]TABLO-1'!D1:D32873,"=ERGENE")/P14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SUMIFS('[7]TABLO-1'!O4:O32873,'[7]TABLO-1'!H4:H32873,"=Dağıtım-OG",'[7]TABLO-1'!K4:K32873,"=Bildirimsiz",'[7]TABLO-1'!I4:I32873,"=Kısa",'[7]TABLO-1'!D4:D32873,"=ERGENE")/P6</f>
        <v>0.13501483679525222</v>
      </c>
      <c r="D57" s="10">
        <f>SUMIFS('[7]TABLO-1'!P4:P32873,'[7]TABLO-1'!H4:H32873,"=Dağıtım-OG",'[7]TABLO-1'!K4:K32873,"=Bildirimsiz",'[7]TABLO-1'!I4:I32873,"=Kısa",'[7]TABLO-1'!D4:D32873,"=ERGENE")/P12</f>
        <v>1.8651745270450305E-2</v>
      </c>
      <c r="E57" s="10">
        <f>IFERROR((((C57*$P$6)+(D57*$P$12))/$P$17),"0,00")</f>
        <v>2.0928274941220865E-2</v>
      </c>
      <c r="F57" s="10" t="e">
        <f>SUMIFS('[7]TABLO-1'!Q4:Q32873,'[7]TABLO-1'!H4:H32873,"=Dağıtım-OG",'[7]TABLO-1'!K4:K32873,"=Bildirimsiz",'[7]TABLO-1'!I4:I32873,"=Kısa",'[7]TABLO-1'!D4:D32873,"=ERGENE")/P7</f>
        <v>#DIV/0!</v>
      </c>
      <c r="G57" s="10" t="e">
        <f>SUMIFS('[7]TABLO-1'!R4:R32873,'[7]TABLO-1'!H4:H32873,"=Dağıtım-OG",'[7]TABLO-1'!K4:K32873,"=Bildirimsiz",'[7]TABLO-1'!I4:I32873,"=Kısa",'[7]TABLO-1'!D4:D32873,"=ERGENE")/P13</f>
        <v>#DIV/0!</v>
      </c>
      <c r="H57" s="10" t="str">
        <f>IFERROR((((F57*$P$7)+(G57*$P$13))/$P$20),"0,00")</f>
        <v>0,00</v>
      </c>
      <c r="I57" s="10">
        <f>SUMIFS('[7]TABLO-1'!S4:S32873,'[7]TABLO-1'!H4:H32873,"=Dağıtım-OG",'[7]TABLO-1'!K4:K32873,"=Bildirimsiz",'[7]TABLO-1'!I4:I32873,"=Kısa",'[7]TABLO-1'!D4:D32873,"=ERGENE")/P8</f>
        <v>0.10764872521246459</v>
      </c>
      <c r="J57" s="10">
        <f>SUMIFS('[7]TABLO-1'!T4:T32873,'[7]TABLO-1'!H4:H32873,"=Dağıtım-OG",'[7]TABLO-1'!K4:K32873,"=Bildirimsiz",'[7]TABLO-1'!I4:I32873,"=Kısa",'[7]TABLO-1'!D4:D32873,"=ERGENE")/P14</f>
        <v>0.26284584980237152</v>
      </c>
      <c r="K57" s="10">
        <f>IFERROR((((I57*$P$8)+(J57*$P$14))/$P$23),"0,00")</f>
        <v>0.25039763690070438</v>
      </c>
      <c r="L57" s="11">
        <f>IFERROR((((E57*$P$17)+(H57*$P$20)+(K57*$P$23))/$P$26),"0,00")</f>
        <v>4.6921651395037581E-2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SUMIFS('[7]TABLO-1'!O4:O32873,'[7]TABLO-1'!H4:H32873,"=Dağıtım-AG",'[7]TABLO-1'!K4:K32873,"=Bildirimsiz",'[7]TABLO-1'!I4:I32873,"=Kısa",'[7]TABLO-1'!D4:D32873,"=ERGENE")/P6</f>
        <v>0</v>
      </c>
      <c r="D58" s="10">
        <f>SUMIFS('[7]TABLO-1'!P4:P32873,'[7]TABLO-1'!H4:H32873,"=Dağıtım-AG",'[7]TABLO-1'!K4:K32873,"=Bildirimsiz",'[7]TABLO-1'!I4:I32873,"=Kısa",'[7]TABLO-1'!D4:D32873,"=ERGENE")/P12</f>
        <v>1.7763566924238387E-3</v>
      </c>
      <c r="E58" s="10">
        <f>IFERROR((((C58*$P$6)+(D58*$P$12))/$P$17),"0,00")</f>
        <v>1.7416040172999333E-3</v>
      </c>
      <c r="F58" s="10" t="e">
        <f>SUMIFS('[7]TABLO-1'!Q4:Q32873,'[7]TABLO-1'!H4:H32873,"=Dağıtım-AG",'[7]TABLO-1'!K4:K32873,"=Bildirimsiz",'[7]TABLO-1'!I4:I32873,"=Kısa",'[7]TABLO-1'!D4:D32873,"=ERGENE")/P7</f>
        <v>#DIV/0!</v>
      </c>
      <c r="G58" s="10" t="e">
        <f>SUMIFS('[7]TABLO-1'!R4:R32873,'[7]TABLO-1'!H4:H32873,"=Dağıtım-AG",'[7]TABLO-1'!K4:K32873,"=Bildirimsiz",'[7]TABLO-1'!I4:I32873,"=Kısa",'[7]TABLO-1'!D4:D32873,"=ERGENE")/P13</f>
        <v>#DIV/0!</v>
      </c>
      <c r="H58" s="10" t="str">
        <f>IFERROR((((F58*$P$7)+(G58*$P$13))/$P$20),"0,00")</f>
        <v>0,00</v>
      </c>
      <c r="I58" s="10">
        <f>SUMIFS('[7]TABLO-1'!S4:S32873,'[7]TABLO-1'!H4:H32873,"=Dağıtım-AG",'[7]TABLO-1'!K4:K32873,"=Bildirimsiz",'[7]TABLO-1'!I4:I32873,"=Kısa",'[7]TABLO-1'!D4:D32873,"=ERGENE")/P8</f>
        <v>0</v>
      </c>
      <c r="J58" s="10">
        <f>SUMIFS('[7]TABLO-1'!T4:T32873,'[7]TABLO-1'!H4:H32873,"=Dağıtım-AG",'[7]TABLO-1'!K4:K32873,"=Bildirimsiz",'[7]TABLO-1'!I4:I32873,"=Kısa",'[7]TABLO-1'!D4:D32873,"=ERGENE")/P14</f>
        <v>2.050395256916996E-2</v>
      </c>
      <c r="K58" s="10">
        <f>IFERROR((((I58*$P$8)+(J58*$P$14))/$P$23),"0,00")</f>
        <v>1.8859350147693705E-2</v>
      </c>
      <c r="L58" s="11">
        <f>IFERROR((((E58*$P$17)+(H58*$P$20)+(K58*$P$23))/$P$26),"0,00")</f>
        <v>3.6806342015855038E-3</v>
      </c>
    </row>
    <row r="59" spans="2:13" ht="15" customHeight="1" thickBot="1" x14ac:dyDescent="0.3">
      <c r="B59" s="30" t="s">
        <v>20</v>
      </c>
      <c r="C59" s="10">
        <f t="shared" ref="C59:L59" si="20">SUM(C56:C58)</f>
        <v>0.13501483679525222</v>
      </c>
      <c r="D59" s="10">
        <f t="shared" si="20"/>
        <v>2.0428101962874146E-2</v>
      </c>
      <c r="E59" s="10">
        <f t="shared" si="20"/>
        <v>2.2669878958520798E-2</v>
      </c>
      <c r="F59" s="10" t="e">
        <f t="shared" si="20"/>
        <v>#DIV/0!</v>
      </c>
      <c r="G59" s="10" t="e">
        <f t="shared" si="20"/>
        <v>#DIV/0!</v>
      </c>
      <c r="H59" s="10">
        <f t="shared" si="20"/>
        <v>0</v>
      </c>
      <c r="I59" s="10">
        <f t="shared" si="20"/>
        <v>0.10764872521246459</v>
      </c>
      <c r="J59" s="10">
        <f t="shared" si="20"/>
        <v>0.2833498023715415</v>
      </c>
      <c r="K59" s="10">
        <f t="shared" si="20"/>
        <v>0.26925698704839807</v>
      </c>
      <c r="L59" s="10">
        <f t="shared" si="20"/>
        <v>5.0602285596623081E-2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674</v>
      </c>
      <c r="D65" s="27">
        <f>P12</f>
        <v>33777</v>
      </c>
      <c r="E65" s="27">
        <f>C65+D65</f>
        <v>34451</v>
      </c>
      <c r="F65" s="17">
        <f>P7</f>
        <v>0</v>
      </c>
      <c r="G65" s="27">
        <f>P13</f>
        <v>0</v>
      </c>
      <c r="H65" s="17">
        <f>SUM(F65:G65)</f>
        <v>0</v>
      </c>
      <c r="I65" s="17">
        <f>P8</f>
        <v>353</v>
      </c>
      <c r="J65" s="27">
        <f>P14</f>
        <v>4048</v>
      </c>
      <c r="K65" s="17">
        <f>SUM(I65:J65)</f>
        <v>4401</v>
      </c>
      <c r="L65" s="17">
        <f>H65+E65+K65</f>
        <v>38852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Q71"/>
  <sheetViews>
    <sheetView zoomScale="60" zoomScaleNormal="60" workbookViewId="0">
      <selection activeCell="P61" sqref="P6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İşletmecisi",'[7]TABLO-1'!K4:K32873,"=Bildirimsiz",'[7]TABLO-1'!I4:I32873,"=Uzun",'[7]TABLO-1'!C4:C32873,"=TEKİRDAĞ")/P6</f>
        <v>0</v>
      </c>
      <c r="E6" s="10">
        <f>SUMIFS('[7]TABLO-1'!V4:V32873,'[7]TABLO-1'!H4:H32873,"=İletim",'[7]TABLO-1'!J4:J32873,"=Şebeke İşletmecisi",'[7]TABLO-1'!K4:K32873,"=Bildirimsiz",'[7]TABLO-1'!I4:I32873,"=Uzun",'[7]TABLO-1'!C4:C32873,"=TEKİRDAĞ")/P12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İşletmecisi",'[7]TABLO-1'!K4:K32873,"=Bildirimsiz",'[7]TABLO-1'!I4:I32873,"=Uzun",'[7]TABLO-1'!C4:C32873,"=TEKİRDAĞ")/P7</f>
        <v>0</v>
      </c>
      <c r="H6" s="10">
        <f>SUMIFS('[7]TABLO-1'!X4:X32873,'[7]TABLO-1'!H4:H32873,"=İletim",'[7]TABLO-1'!J4:J32873,"=Şebeke İşletmecisi",'[7]TABLO-1'!K4:K32873,"=Bildirimsiz",'[7]TABLO-1'!I4:I32873,"=Uzun",'[7]TABLO-1'!C4:C32873,"=TEKİRDAĞ")/P13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İşletmecisi",'[7]TABLO-1'!K4:K32873,"=Bildirimsiz",'[7]TABLO-1'!I4:I32873,"=Uzun",'[7]TABLO-1'!C4:C32873,"=TEKİRDAĞ")/P8</f>
        <v>0</v>
      </c>
      <c r="K6" s="10">
        <f>SUMIFS('[7]TABLO-1'!Z4:Z32873,'[7]TABLO-1'!H4:H32873,"=İletim",'[7]TABLO-1'!J4:J32873,"=Şebeke İşletmecisi",'[7]TABLO-1'!K4:K32873,"=Bildirimsiz",'[7]TABLO-1'!I4:I32873,"=Uzun",'[7]TABLO-1'!C4:C32873,"=TEKİRDAĞ")/P14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4250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Sebep",'[7]TABLO-1'!K4:K32873,"=Bildirimsiz",'[7]TABLO-1'!I4:I32873,"=Uzun",'[7]TABLO-1'!C4:C32873,"=TEKİRDAĞ")/P6</f>
        <v>0</v>
      </c>
      <c r="E7" s="10">
        <f>SUMIFS('[7]TABLO-1'!V4:V32873,'[7]TABLO-1'!H4:H32873,"=İletim",'[7]TABLO-1'!J4:J32873,"=Mücbir Sebep",'[7]TABLO-1'!K4:K32873,"=Bildirimsiz",'[7]TABLO-1'!I4:I32873,"=Uzun",'[7]TABLO-1'!C4:C32873,"=TEKİRDAĞ")/P12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Sebep",'[7]TABLO-1'!K4:K32873,"=Bildirimsiz",'[7]TABLO-1'!I4:I32873,"=Uzun",'[7]TABLO-1'!C4:C32873,"=TEKİRDAĞ")/P7</f>
        <v>0</v>
      </c>
      <c r="H7" s="10">
        <f>SUMIFS('[7]TABLO-1'!X4:X32873,'[7]TABLO-1'!H4:H32873,"=İletim",'[7]TABLO-1'!J4:J32873,"=Mücbir Sebep",'[7]TABLO-1'!K4:K32873,"=Bildirimsiz",'[7]TABLO-1'!I4:I32873,"=Uzun",'[7]TABLO-1'!C4:C32873,"=TEKİRDAĞ")/P13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Sebep",'[7]TABLO-1'!K4:K32873,"=Bildirimsiz",'[7]TABLO-1'!I4:I32873,"=Uzun",'[7]TABLO-1'!C4:C32873,"=TEKİRDAĞ")/P8</f>
        <v>0</v>
      </c>
      <c r="K7" s="10">
        <f>SUMIFS('[7]TABLO-1'!Z4:Z32873,'[7]TABLO-1'!H4:H32873,"=İletim",'[7]TABLO-1'!J4:J32873,"=Mücbir Sebep",'[7]TABLO-1'!K4:K32873,"=Bildirimsiz",'[7]TABLO-1'!I4:I32873,"=Uzun",'[7]TABLO-1'!C4:C32873,"=TEKİRDAĞ")/P14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515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İşletmecisi",'[7]TABLO-1'!K4:K32873,"=Bildirimsiz",'[7]TABLO-1'!I4:I32873,"=Uzun",'[7]TABLO-1'!C4:C32873,"=TEKİRDAĞ")/P6</f>
        <v>21.584623529303215</v>
      </c>
      <c r="E8" s="10">
        <f>SUMIFS('[7]TABLO-1'!V4:V32873,'[7]TABLO-1'!H4:H32873,"=Dağıtım-OG",'[7]TABLO-1'!J4:J32873,"=Şebeke İşletmecisi",'[7]TABLO-1'!K4:K32873,"=Bildirimsiz",'[7]TABLO-1'!I4:I32873,"=Uzun",'[7]TABLO-1'!C4:C32873,"=TEKİRDAĞ")/P12</f>
        <v>21.702513339049361</v>
      </c>
      <c r="F8" s="10">
        <f t="shared" si="0"/>
        <v>21.701665578296641</v>
      </c>
      <c r="G8" s="10">
        <f>SUMIFS('[7]TABLO-1'!W4:W32873,'[7]TABLO-1'!H4:H32873,"=Dağıtım-OG",'[7]TABLO-1'!J4:J32873,"=Şebeke İşletmecisi",'[7]TABLO-1'!K4:K32873,"=Bildirimsiz",'[7]TABLO-1'!I4:I32873,"=Uzun",'[7]TABLO-1'!C4:C32873,"=TEKİRDAĞ")/P7</f>
        <v>17.597928802916798</v>
      </c>
      <c r="H8" s="10">
        <f>SUMIFS('[7]TABLO-1'!X4:X32873,'[7]TABLO-1'!H4:H32873,"=Dağıtım-OG",'[7]TABLO-1'!J4:J32873,"=Şebeke İşletmecisi",'[7]TABLO-1'!K4:K32873,"=Bildirimsiz",'[7]TABLO-1'!I4:I32873,"=Uzun",'[7]TABLO-1'!C4:C32873,"=TEKİRDAĞ")/P13</f>
        <v>17.02809182842892</v>
      </c>
      <c r="I8" s="10">
        <f t="shared" si="1"/>
        <v>17.030928537290542</v>
      </c>
      <c r="J8" s="10">
        <f>SUMIFS('[7]TABLO-1'!Y4:Y32873,'[7]TABLO-1'!H4:H32873,"=Dağıtım-OG",'[7]TABLO-1'!J4:J32873,"=Şebeke İşletmecisi",'[7]TABLO-1'!K4:K32873,"=Bildirimsiz",'[7]TABLO-1'!I4:I32873,"=Uzun",'[7]TABLO-1'!C4:C32873,"=TEKİRDAĞ")/P8</f>
        <v>21.115144152841165</v>
      </c>
      <c r="K8" s="10">
        <f>SUMIFS('[7]TABLO-1'!Z4:Z32873,'[7]TABLO-1'!H4:H32873,"=Dağıtım-OG",'[7]TABLO-1'!J4:J32873,"=Şebeke İşletmecisi",'[7]TABLO-1'!K4:K32873,"=Bildirimsiz",'[7]TABLO-1'!I4:I32873,"=Uzun",'[7]TABLO-1'!C4:C32873,"=TEKİRDAĞ")/P14</f>
        <v>40.75788366364845</v>
      </c>
      <c r="L8" s="10">
        <f t="shared" si="2"/>
        <v>40.315696418918179</v>
      </c>
      <c r="M8" s="11">
        <f t="shared" si="3"/>
        <v>22.198370507335287</v>
      </c>
      <c r="O8" s="20" t="s">
        <v>36</v>
      </c>
      <c r="P8" s="53">
        <v>1029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SUMIFS('[7]TABLO-1'!U4:U32873,'[7]TABLO-1'!H4:H32873,"=Dağıtım-OG",'[7]TABLO-1'!J4:J32873,"=Dışsal",'[7]TABLO-1'!K4:K32873,"=Bildirimsiz",'[7]TABLO-1'!I4:I32873,"=Uzun",'[7]TABLO-1'!C4:C32873,"=TEKİRDAĞ")/P6</f>
        <v>2.9750666666899206</v>
      </c>
      <c r="E9" s="10">
        <f>SUMIFS('[7]TABLO-1'!V4:V32873,'[7]TABLO-1'!H4:H32873,"=Dağıtım-OG",'[7]TABLO-1'!J4:J32873,"=Dışsal",'[7]TABLO-1'!K4:K32873,"=Bildirimsiz",'[7]TABLO-1'!I4:I32873,"=Uzun",'[7]TABLO-1'!C4:C32873,"=TEKİRDAĞ")/P12</f>
        <v>1.347744775220894</v>
      </c>
      <c r="F9" s="10">
        <f t="shared" si="0"/>
        <v>1.3594470558047516</v>
      </c>
      <c r="G9" s="10">
        <f>SUMIFS('[7]TABLO-1'!W4:W32873,'[7]TABLO-1'!H4:H32873,"=Dağıtım-OG",'[7]TABLO-1'!J4:J32873,"=Dışsal",'[7]TABLO-1'!K4:K32873,"=Bildirimsiz",'[7]TABLO-1'!I4:I32873,"=Uzun",'[7]TABLO-1'!C4:C32873,"=TEKİRDAĞ")/P7</f>
        <v>4.7104207120510271</v>
      </c>
      <c r="H9" s="10">
        <f>SUMIFS('[7]TABLO-1'!X4:X32873,'[7]TABLO-1'!H4:H32873,"=Dağıtım-OG",'[7]TABLO-1'!J4:J32873,"=Dışsal",'[7]TABLO-1'!K4:K32873,"=Bildirimsiz",'[7]TABLO-1'!I4:I32873,"=Uzun",'[7]TABLO-1'!C4:C32873,"=TEKİRDAĞ")/P13</f>
        <v>7.231175400186765</v>
      </c>
      <c r="I9" s="10">
        <f t="shared" si="1"/>
        <v>7.2186268161496665</v>
      </c>
      <c r="J9" s="10">
        <f>SUMIFS('[7]TABLO-1'!Y4:Y32873,'[7]TABLO-1'!H4:H32873,"=Dağıtım-OG",'[7]TABLO-1'!J4:J32873,"=Dışsal",'[7]TABLO-1'!K4:K32873,"=Bildirimsiz",'[7]TABLO-1'!I4:I32873,"=Uzun",'[7]TABLO-1'!C4:C32873,"=TEKİRDAĞ")/P8</f>
        <v>6.3489633951500419</v>
      </c>
      <c r="K9" s="10">
        <f>SUMIFS('[7]TABLO-1'!Z4:Z32873,'[7]TABLO-1'!H4:H32873,"=Dağıtım-OG",'[7]TABLO-1'!J4:J32873,"=Dışsal",'[7]TABLO-1'!K4:K32873,"=Bildirimsiz",'[7]TABLO-1'!I4:I32873,"=Uzun",'[7]TABLO-1'!C4:C32873,"=TEKİRDAĞ")/P14</f>
        <v>5.1213692623758087</v>
      </c>
      <c r="L9" s="10">
        <f t="shared" si="2"/>
        <v>5.1490042298364234</v>
      </c>
      <c r="M9" s="11">
        <f t="shared" si="3"/>
        <v>2.4124098010317878</v>
      </c>
      <c r="O9" s="20" t="s">
        <v>17</v>
      </c>
      <c r="P9" s="53">
        <f>P6+P7+P8</f>
        <v>5794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Sebep",'[7]TABLO-1'!K4:K32873,"=Bildirimsiz",'[7]TABLO-1'!I4:I32873,"=Uzun",'[7]TABLO-1'!C4:C32873,"=TEKİRDAĞ")/P6</f>
        <v>0</v>
      </c>
      <c r="E10" s="10">
        <f>SUMIFS('[7]TABLO-1'!V4:V32873,'[7]TABLO-1'!H4:H32873,"=Dağıtım-OG",'[7]TABLO-1'!J4:J32873,"=Mücbir Sebep",'[7]TABLO-1'!K4:K32873,"=Bildirimsiz",'[7]TABLO-1'!I4:I32873,"=Uzun",'[7]TABLO-1'!C4:C32873,"=TEKİRDAĞ")/P12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Sebep",'[7]TABLO-1'!K4:K32873,"=Bildirimsiz",'[7]TABLO-1'!I4:I32873,"=Uzun",'[7]TABLO-1'!C4:C32873,"=TEKİRDAĞ")/P7</f>
        <v>0</v>
      </c>
      <c r="H10" s="10">
        <f>SUMIFS('[7]TABLO-1'!X4:X32873,'[7]TABLO-1'!H4:H32873,"=Dağıtım-OG",'[7]TABLO-1'!J4:J32873,"=Mücbir Sebep",'[7]TABLO-1'!K4:K32873,"=Bildirimsiz",'[7]TABLO-1'!I4:I32873,"=Uzun",'[7]TABLO-1'!C4:C32873,"=TEKİRDAĞ")/P13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Sebep",'[7]TABLO-1'!K4:K32873,"=Bildirimsiz",'[7]TABLO-1'!I4:I32873,"=Uzun",'[7]TABLO-1'!C4:C32873,"=TEKİRDAĞ")/P8</f>
        <v>0</v>
      </c>
      <c r="K10" s="10">
        <f>SUMIFS('[7]TABLO-1'!Z4:Z32873,'[7]TABLO-1'!H4:H32873,"=Dağıtım-OG",'[7]TABLO-1'!J4:J32873,"=Mücbir Sebep",'[7]TABLO-1'!K4:K32873,"=Bildirimsiz",'[7]TABLO-1'!I4:I32873,"=Uzun",'[7]TABLO-1'!C4:C32873,"=TEKİRDAĞ")/P14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SUMIFS('[7]TABLO-1'!U4:U32873,'[7]TABLO-1'!H4:H32873,"=Dağıtım-OG",'[7]TABLO-1'!J4:J32873,"=Güvenlik",'[7]TABLO-1'!K4:K32873,"=Bildirimsiz",'[7]TABLO-1'!I4:I32873,"=Uzun",'[7]TABLO-1'!C4:C32873,"=TEKİRDAĞ")/P6</f>
        <v>0</v>
      </c>
      <c r="E11" s="10">
        <f>SUMIFS('[7]TABLO-1'!V4:V32873,'[7]TABLO-1'!H4:H32873,"=Dağıtım-OG",'[7]TABLO-1'!J4:J32873,"=Güvenlik",'[7]TABLO-1'!K4:K32873,"=Bildirimsiz",'[7]TABLO-1'!I4:I32873,"=Uzun",'[7]TABLO-1'!C4:C32873,"=TEKİRDAĞ")/P12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SUMIFS('[7]TABLO-1'!W4:W32873,'[7]TABLO-1'!H4:H32873,"=Dağıtım-OG",'[7]TABLO-1'!J4:J32873,"=Güvenlik",'[7]TABLO-1'!K4:K32873,"=Bildirimsiz",'[7]TABLO-1'!I4:I32873,"=Uzun",'[7]TABLO-1'!C4:C32873,"=TEKİRDAĞ")/P7</f>
        <v>0</v>
      </c>
      <c r="H11" s="10">
        <f>SUMIFS('[7]TABLO-1'!X4:X32873,'[7]TABLO-1'!H4:H32873,"=Dağıtım-OG",'[7]TABLO-1'!J4:J32873,"=Güvenlik",'[7]TABLO-1'!K4:K32873,"=Bildirimsiz",'[7]TABLO-1'!I4:I32873,"=Uzun",'[7]TABLO-1'!C4:C32873,"=TEKİRDAĞ")/P13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SUMIFS('[7]TABLO-1'!Y4:Y32873,'[7]TABLO-1'!H4:H32873,"=Dağıtım-OG",'[7]TABLO-1'!J4:J32873,"=Güvenlik",'[7]TABLO-1'!K4:K32873,"=Bildirimsiz",'[7]TABLO-1'!I4:I32873,"=Uzun",'[7]TABLO-1'!C4:C32873,"=TEKİRDAĞ")/P8</f>
        <v>0</v>
      </c>
      <c r="K11" s="10">
        <f>SUMIFS('[7]TABLO-1'!Z4:Z32873,'[7]TABLO-1'!H4:H32873,"=Dağıtım-OG",'[7]TABLO-1'!J4:J32873,"=Güvenlik",'[7]TABLO-1'!K4:K32873,"=Bildirimsiz",'[7]TABLO-1'!I4:I32873,"=Uzun",'[7]TABLO-1'!C4:C32873,"=TEKİRDAĞ")/P14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İşletmecisi",'[7]TABLO-1'!K4:K32873,"=Bildirimsiz",'[7]TABLO-1'!I4:I32873,"=Uzun",'[7]TABLO-1'!C4:C32873,"=TEKİRDAĞ")/P6</f>
        <v>0</v>
      </c>
      <c r="E12" s="10">
        <f>SUMIFS('[7]TABLO-1'!V4:V32873,'[7]TABLO-1'!H4:H32873,"=Dağıtım-AG",'[7]TABLO-1'!J4:J32873,"=Şebeke işletmecisi",'[7]TABLO-1'!K4:K32873,"=Bildirimsiz",'[7]TABLO-1'!I4:I32873,"=Uzun",'[7]TABLO-1'!C4:C32873,"=TEKİRDAĞ")/P12</f>
        <v>5.0869832888919628</v>
      </c>
      <c r="F12" s="10">
        <f t="shared" si="0"/>
        <v>5.0504021391611795</v>
      </c>
      <c r="G12" s="12">
        <f>SUMIFS('[7]TABLO-1'!W4:W32873,'[7]TABLO-1'!H4:H32873,"=Dağıtım-AG",'[7]TABLO-1'!J4:J32873,"=Şebeke İşletmecisi",'[7]TABLO-1'!K4:K32873,"=Bildirimsiz",'[7]TABLO-1'!I4:I32873,"=Uzun",'[7]TABLO-1'!C4:C32873,"=TEKİRDAĞ")/P7</f>
        <v>0</v>
      </c>
      <c r="H12" s="10">
        <f>SUMIFS('[7]TABLO-1'!X4:X32873,'[7]TABLO-1'!H4:H32873,"=Dağıtım-AG",'[7]TABLO-1'!J4:J32873,"=Şebeke İşletmecisi",'[7]TABLO-1'!K4:K32873,"=Bildirimsiz",'[7]TABLO-1'!I4:I32873,"=Uzun",'[7]TABLO-1'!C4:C32873,"=TEKİRDAĞ")/P13</f>
        <v>2.7143257753655323</v>
      </c>
      <c r="I12" s="10">
        <f t="shared" si="1"/>
        <v>2.7008135739377028</v>
      </c>
      <c r="J12" s="12">
        <f>SUMIFS('[7]TABLO-1'!Y4:Y32873,'[7]TABLO-1'!H4:H32873,"=Dağıtım-AG",'[7]TABLO-1'!J4:J32873,"=Şebeke İşletmecisi",'[7]TABLO-1'!K4:K32873,"=Bildirimsiz",'[7]TABLO-1'!I4:I32873,"=Uzun",'[7]TABLO-1'!C4:C32873,"=TEKİRDAĞ")/P8</f>
        <v>0</v>
      </c>
      <c r="K12" s="10">
        <f>SUMIFS('[7]TABLO-1'!Z4:Z32873,'[7]TABLO-1'!H4:H32873,"=Dağıtım-AG",'[7]TABLO-1'!J4:J32873,"=Şebeke İşletmecisi",'[7]TABLO-1'!K4:K32873,"=Bildirimsiz",'[7]TABLO-1'!I4:I32873,"=Uzun",'[7]TABLO-1'!C4:C32873,"=TEKİRDAĞ")/P14</f>
        <v>5.8981192602900023</v>
      </c>
      <c r="L12" s="10">
        <f t="shared" si="2"/>
        <v>5.765343834369232</v>
      </c>
      <c r="M12" s="11">
        <f t="shared" si="3"/>
        <v>4.7661535405977373</v>
      </c>
      <c r="O12" s="6" t="s">
        <v>33</v>
      </c>
      <c r="P12" s="42">
        <v>586756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SUMIFS('[7]TABLO-1'!U4:U32873,'[7]TABLO-1'!H4:H32873,"=Dağıtım-AG",'[7]TABLO-1'!J4:J32873,"=Dışsal",'[7]TABLO-1'!K4:K32873,"=Bildirimsiz",'[7]TABLO-1'!I4:I32873,"=Uzun",'[7]TABLO-1'!C4:C32873,"=TEKİRDAĞ")/P6</f>
        <v>0</v>
      </c>
      <c r="E13" s="10">
        <f>SUMIFS('[7]TABLO-1'!V4:V32873,'[7]TABLO-1'!H4:H32873,"=Dağıtım-AG",'[7]TABLO-1'!J4:J32873,"=Dışsal",'[7]TABLO-1'!K4:K32873,"=Bildirimsiz",'[7]TABLO-1'!I4:I32873,"=Uzun",'[7]TABLO-1'!C4:C32873,"=TEKİRDAĞ")/P12</f>
        <v>0.29906275634711493</v>
      </c>
      <c r="F13" s="10">
        <f t="shared" si="0"/>
        <v>0.29691215768233786</v>
      </c>
      <c r="G13" s="12">
        <f>SUMIFS('[7]TABLO-1'!W4:W32873,'[7]TABLO-1'!H4:H32873,"=Dağıtım-AG",'[7]TABLO-1'!J4:J32873,"=Dışsal",'[7]TABLO-1'!K4:K32873,"=Bildirimsiz",'[7]TABLO-1'!I4:I32873,"=Uzun",'[7]TABLO-1'!C4:C32873,"=TEKİRDAĞ")/P7</f>
        <v>0</v>
      </c>
      <c r="H13" s="10">
        <f>SUMIFS('[7]TABLO-1'!X4:X32873,'[7]TABLO-1'!H4:H32873,"=Dağıtım-AG",'[7]TABLO-1'!J4:J32873,"=Dışsal",'[7]TABLO-1'!K4:K32873,"=Bildirimsiz",'[7]TABLO-1'!I4:I32873,"=Uzun",'[7]TABLO-1'!C4:C32873,"=TEKİRDAĞ")/P13</f>
        <v>0.34337740518304771</v>
      </c>
      <c r="I13" s="10">
        <f t="shared" si="1"/>
        <v>0.34166803606210133</v>
      </c>
      <c r="J13" s="12">
        <f>SUMIFS('[7]TABLO-1'!Y4:Y32873,'[7]TABLO-1'!H4:H32873,"=Dağıtım-AG",'[7]TABLO-1'!J4:J32873,"=Dışsal",'[7]TABLO-1'!K4:K32873,"=Bildirimsiz",'[7]TABLO-1'!I4:I32873,"=Uzun",'[7]TABLO-1'!C4:C32873,"=TEKİRDAĞ")/P8</f>
        <v>0</v>
      </c>
      <c r="K13" s="10">
        <f>SUMIFS('[7]TABLO-1'!Z4:Z32873,'[7]TABLO-1'!H4:H32873,"=Dağıtım-AG",'[7]TABLO-1'!J4:J32873,"=Dışsal",'[7]TABLO-1'!K4:K32873,"=Bildirimsiz",'[7]TABLO-1'!I4:I32873,"=Uzun",'[7]TABLO-1'!C4:C32873,"=TEKİRDAĞ")/P14</f>
        <v>0.14814686331553656</v>
      </c>
      <c r="L13" s="10">
        <f t="shared" si="2"/>
        <v>0.1448118573572848</v>
      </c>
      <c r="M13" s="11">
        <f t="shared" si="3"/>
        <v>0.29377452986782993</v>
      </c>
      <c r="O13" s="6" t="s">
        <v>35</v>
      </c>
      <c r="P13" s="42">
        <v>102938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Sebep",'[7]TABLO-1'!K4:K32873,"=Bildirimsiz",'[7]TABLO-1'!I4:I32873,"=Uzun",'[7]TABLO-1'!C4:C32873,"=TEKİRDAĞ")/P6</f>
        <v>0</v>
      </c>
      <c r="E14" s="10">
        <f>SUMIFS('[7]TABLO-1'!V4:V32873,'[7]TABLO-1'!H4:H32873,"=Dağıtım-AG",'[7]TABLO-1'!J4:J32873,"=Mücbir Sebep",'[7]TABLO-1'!K4:K32873,"=Bildirimsiz",'[7]TABLO-1'!I4:I32873,"=Uzun",'[7]TABLO-1'!C4:C32873,"=TEKİRDAĞ")/P12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Sebep",'[7]TABLO-1'!K4:K32873,"=Bildirimsiz",'[7]TABLO-1'!I4:I32873,"=Uzun",'[7]TABLO-1'!C4:C32873,"=TEKİRDAĞ")/P7</f>
        <v>0</v>
      </c>
      <c r="H14" s="10">
        <f>SUMIFS('[7]TABLO-1'!X4:X32873,'[7]TABLO-1'!H4:H32873,"=Dağıtım-AG",'[7]TABLO-1'!J4:J32873,"=Mücbir Sebep",'[7]TABLO-1'!K4:K32873,"=Bildirimsiz",'[7]TABLO-1'!I4:I32873,"=Uzun",'[7]TABLO-1'!C4:C32873,"=TEKİRDAĞ")/P13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Sebep",'[7]TABLO-1'!K4:K32873,"=Bildirimsiz",'[7]TABLO-1'!I4:I32873,"=Uzun",'[7]TABLO-1'!C4:C32873,"=TEKİRDAĞ")/P8</f>
        <v>0</v>
      </c>
      <c r="K14" s="10">
        <f>SUMIFS('[7]TABLO-1'!Z4:Z32873,'[7]TABLO-1'!H4:H32873,"=Dağıtım-AG",'[7]TABLO-1'!J4:J32873,"=Mücbir Sebep",'[7]TABLO-1'!K4:K32873,"=Bildirimsiz",'[7]TABLO-1'!I4:I32873,"=Uzun",'[7]TABLO-1'!C4:C32873,"=TEKİRDAĞ")/P14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44681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SUMIFS('[7]TABLO-1'!U4:U32873,'[7]TABLO-1'!H4:H32873,"=Dağıtım-AG",'[7]TABLO-1'!J4:J32873,"=Güvenlik",'[7]TABLO-1'!K4:K32873,"=Bildirimsiz",'[7]TABLO-1'!I4:I32873,"=Uzun",'[7]TABLO-1'!C4:C32873,"=TEKİRDAĞ")/P6</f>
        <v>0</v>
      </c>
      <c r="E15" s="10">
        <f>SUMIFS('[7]TABLO-1'!V4:V32873,'[7]TABLO-1'!H4:H32873,"=Dağıtım-AG",'[7]TABLO-1'!J4:J32873,"=Güvenlik",'[7]TABLO-1'!K4:K32873,"=Bildirimsiz",'[7]TABLO-1'!I4:I32873,"=Uzun",'[7]TABLO-1'!C4:C32873,"=TEKİRDAĞ")/P12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SUMIFS('[7]TABLO-1'!W4:W32873,'[7]TABLO-1'!H4:H32873,"=Dağıtım-AG",'[7]TABLO-1'!J4:J32873,"=Güvenlik",'[7]TABLO-1'!K4:K32873,"=Bildirimsiz",'[7]TABLO-1'!I4:I32873,"=Uzun",'[7]TABLO-1'!C4:C32873,"=TEKİRDAĞ")/P7</f>
        <v>0</v>
      </c>
      <c r="H15" s="10">
        <f>SUMIFS('[7]TABLO-1'!X4:X32873,'[7]TABLO-1'!H4:H32873,"=Dağıtım-AG",'[7]TABLO-1'!J4:J32873,"=Güvenlik",'[7]TABLO-1'!K4:K32873,"=Bildirimsiz",'[7]TABLO-1'!I4:I32873,"=Uzun",'[7]TABLO-1'!C4:C32873,"=TEKİRDAĞ")/P13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SUMIFS('[7]TABLO-1'!Y4:Y32873,'[7]TABLO-1'!H4:H32873,"=Dağıtım-AG",'[7]TABLO-1'!J4:J32873,"=Güvenlik",'[7]TABLO-1'!K4:K32873,"=Bildirimsiz",'[7]TABLO-1'!I4:I32873,"=Uzun",'[7]TABLO-1'!C4:C32873,"=TEKİRDAĞ")/P8</f>
        <v>0</v>
      </c>
      <c r="K15" s="10">
        <f>SUMIFS('[7]TABLO-1'!Z4:Z32873,'[7]TABLO-1'!H4:H32873,"=Dağıtım-AG",'[7]TABLO-1'!J4:J32873,"=Güvenlik",'[7]TABLO-1'!K4:K32873,"=Bildirimsiz",'[7]TABLO-1'!I4:I32873,"=Uzun",'[7]TABLO-1'!C4:C32873,"=TEKİRDAĞ")/P14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734375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24.559690195993134</v>
      </c>
      <c r="E16" s="10">
        <f t="shared" si="4"/>
        <v>28.43630415950933</v>
      </c>
      <c r="F16" s="10">
        <f t="shared" si="4"/>
        <v>28.408426930944909</v>
      </c>
      <c r="G16" s="10">
        <f t="shared" si="4"/>
        <v>22.308349514967823</v>
      </c>
      <c r="H16" s="10">
        <f t="shared" si="4"/>
        <v>27.316970409164263</v>
      </c>
      <c r="I16" s="10">
        <f t="shared" si="4"/>
        <v>27.292036963440012</v>
      </c>
      <c r="J16" s="10">
        <f>SUM(J6:J15)</f>
        <v>27.464107547991205</v>
      </c>
      <c r="K16" s="10">
        <f>SUM(K6:K15)</f>
        <v>51.925519049629798</v>
      </c>
      <c r="L16" s="10">
        <f>SUM(L6:L15)</f>
        <v>51.374856340481116</v>
      </c>
      <c r="M16" s="11">
        <f t="shared" si="4"/>
        <v>29.670708378832643</v>
      </c>
    </row>
    <row r="17" spans="2:16" ht="15" customHeight="1" x14ac:dyDescent="0.25">
      <c r="B17" s="29"/>
      <c r="O17" s="50" t="s">
        <v>37</v>
      </c>
      <c r="P17" s="47">
        <f>P6+P12</f>
        <v>591006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103453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İşletmecisi",'[7]TABLO-1'!K4:K32873,"=Bildirimli",'[7]TABLO-1'!I4:I32873,"=Uzun",'[7]TABLO-1'!C4:C32873,"=TEKİRDAĞ")/P6</f>
        <v>0.10148627451018376</v>
      </c>
      <c r="E21" s="10">
        <f>SUMIFS('[7]TABLO-1'!V4:V32873,'[7]TABLO-1'!H4:H32873,"=İletim",'[7]TABLO-1'!J4:J32873,"=Şebeke İşletmecisi",'[7]TABLO-1'!K4:K32873,"=Bildirimli",'[7]TABLO-1'!I4:I32873,"=Uzun",'[7]TABLO-1'!C4:C32873,"=TEKİRDAĞ")/P12</f>
        <v>5.9542041325748279E-2</v>
      </c>
      <c r="F21" s="10">
        <f>IFERROR((((D21*$P$6)+(E21*$P$12))/$P$17),"0,00")</f>
        <v>5.9843667690004904E-2</v>
      </c>
      <c r="G21" s="10">
        <f>SUMIFS('[7]TABLO-1'!W4:W32873,'[7]TABLO-1'!H4:H32873,"=İletim",'[7]TABLO-1'!J4:J32873,"=Şebeke İşletmecisi",'[7]TABLO-1'!K4:K32873,"=Bildirimli",'[7]TABLO-1'!I4:I32873,"=Uzun",'[7]TABLO-1'!C4:C32873,"=TEKİRDAĞ")/P7</f>
        <v>0</v>
      </c>
      <c r="H21" s="10">
        <f>SUMIFS('[7]TABLO-1'!X4:X32873,'[7]TABLO-1'!H4:H32873,"=İletim",'[7]TABLO-1'!J4:J32873,"=Şebeke İşletmecisi",'[7]TABLO-1'!K4:K32873,"=Bildirimli",'[7]TABLO-1'!I4:I32873,"=Uzun",'[7]TABLO-1'!C4:C32873,"=TEKİRDAĞ")/P13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İşletmecisi",'[7]TABLO-1'!K4:K32873,"=Bildirimli",'[7]TABLO-1'!I4:I32873,"=Uzun",'[7]TABLO-1'!C4:C32873,"=TEKİRDAĞ")/P8</f>
        <v>0</v>
      </c>
      <c r="K21" s="10">
        <f>SUMIFS('[7]TABLO-1'!Z4:Z32873,'[7]TABLO-1'!H4:H32873,"=İletim",'[7]TABLO-1'!J4:J32873,"=Şebeke İşletmecisi",'[7]TABLO-1'!K4:K32873,"=Bildirimli",'[7]TABLO-1'!I4:I32873,"=Uzun",'[7]TABLO-1'!C4:C32873,"=TEKİRDAĞ")/P14</f>
        <v>0</v>
      </c>
      <c r="L21" s="10">
        <f>IFERROR((((J21*$P$8)+(K21*$P$14))/$P$23),"0,00")</f>
        <v>0</v>
      </c>
      <c r="M21" s="11">
        <f>IFERROR((((F21*$P$17)+(I21*$P$20)+(L21*$P$23))/$P$26),"0,00")</f>
        <v>4.7783636800242967E-2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İşletmecisi",'[7]TABLO-1'!K4:K32873,"=Bildirimli",'[7]TABLO-1'!I4:I32873,"=Uzun",'[7]TABLO-1'!C4:C32873,"=TEKİRDAĞ")/P6</f>
        <v>45.866631372637556</v>
      </c>
      <c r="E22" s="10">
        <f>SUMIFS('[7]TABLO-1'!V4:V32873,'[7]TABLO-1'!H4:H32873,"=Dağıtım-OG",'[7]TABLO-1'!J4:J32873,"=Şebeke İşletmecisi",'[7]TABLO-1'!K4:K32873,"=Bildirimli",'[7]TABLO-1'!I4:I32873,"=Uzun",'[7]TABLO-1'!C4:C32873,"=TEKİRDAĞ")/P12</f>
        <v>19.494943894961366</v>
      </c>
      <c r="F22" s="10">
        <f t="shared" ref="F22:F25" si="5">IFERROR((((D22*$P$6)+(E22*$P$12))/$P$17),"0,00")</f>
        <v>19.684586084347131</v>
      </c>
      <c r="G22" s="10">
        <f>SUMIFS('[7]TABLO-1'!W4:W32873,'[7]TABLO-1'!H4:H32873,"=Dağıtım-OG",'[7]TABLO-1'!J4:J32873,"=Şebeke İşletmecisi",'[7]TABLO-1'!K4:K32873,"=Bildirimli",'[7]TABLO-1'!I4:I32873,"=Uzun",'[7]TABLO-1'!C4:C32873,"=TEKİRDAĞ")/P7</f>
        <v>42.000744336974144</v>
      </c>
      <c r="H22" s="10">
        <f>SUMIFS('[7]TABLO-1'!X4:X32873,'[7]TABLO-1'!H4:H32873,"=Dağıtım-OG",'[7]TABLO-1'!J4:J32873,"=Şebeke İşletmecisi",'[7]TABLO-1'!K4:K32873,"=Bildirimli",'[7]TABLO-1'!I4:I32873,"=Uzun",'[7]TABLO-1'!C4:C32873,"=TEKİRDAĞ")/P13</f>
        <v>44.645687048530839</v>
      </c>
      <c r="I22" s="10">
        <f t="shared" ref="I22:I25" si="6">IFERROR((((G22*$P$7)+(H22*$P$13))/$P$20),"0,00")</f>
        <v>44.632520243349241</v>
      </c>
      <c r="J22" s="10">
        <f>SUMIFS('[7]TABLO-1'!Y4:Y32873,'[7]TABLO-1'!H4:H32873,"=Dağıtım-OG",'[7]TABLO-1'!J4:J32873,"=Şebeke İşletmecisi",'[7]TABLO-1'!K4:K32873,"=Bildirimli",'[7]TABLO-1'!I4:I32873,"=Uzun",'[7]TABLO-1'!C4:C32873,"=TEKİRDAĞ")/P8</f>
        <v>58.248169744436822</v>
      </c>
      <c r="K22" s="10">
        <f>SUMIFS('[7]TABLO-1'!Z4:Z32873,'[7]TABLO-1'!H4:H32873,"=Dağıtım-OG",'[7]TABLO-1'!J4:J32873,"=Şebeke İşletmecisi",'[7]TABLO-1'!K4:K32873,"=Bildirimli",'[7]TABLO-1'!I4:I32873,"=Uzun",'[7]TABLO-1'!C4:C32873,"=TEKİRDAĞ")/P14</f>
        <v>72.483259102400581</v>
      </c>
      <c r="L22" s="10">
        <f t="shared" ref="L22:L25" si="7">IFERROR((((J22*$P$8)+(K22*$P$14))/$P$23),"0,00")</f>
        <v>72.162806095414268</v>
      </c>
      <c r="M22" s="11">
        <f t="shared" ref="M22:M25" si="8">IFERROR((((F22*$P$17)+(I22*$P$20)+(L22*$P$23))/$P$26),"0,00")</f>
        <v>26.412398339733571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SUMIFS('[7]TABLO-1'!U4:U32873,'[7]TABLO-1'!H4:H32873,"=Dağıtım-OG",'[7]TABLO-1'!J4:J32873,"=Güvenlik",'[7]TABLO-1'!K4:K32873,"=Bildirimli",'[7]TABLO-1'!I4:I32873,"=Uzun",'[7]TABLO-1'!C4:C32873,"=TEKİRDAĞ")/P6</f>
        <v>0</v>
      </c>
      <c r="E23" s="10">
        <f>SUMIFS('[7]TABLO-1'!V4:V32873,'[7]TABLO-1'!H4:H32873,"=Dağıtım-OG",'[7]TABLO-1'!J4:J32873,"=Güvenlik",'[7]TABLO-1'!K4:K32873,"=Bildirimli",'[7]TABLO-1'!I4:I32873,"=Uzun",'[7]TABLO-1'!C4:C32873,"=TEKİRDAĞ")/P12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SUMIFS('[7]TABLO-1'!W4:W32873,'[7]TABLO-1'!H4:H32873,"=Dağıtım-OG",'[7]TABLO-1'!J4:J32873,"=Güvenlik",'[7]TABLO-1'!K4:K32873,"=Bildirimli",'[7]TABLO-1'!I4:I32873,"=Uzun",'[7]TABLO-1'!C4:C32873,"=TEKİRDAĞ")/P7</f>
        <v>0</v>
      </c>
      <c r="H23" s="10">
        <f>SUMIFS('[7]TABLO-1'!X4:X32873,'[7]TABLO-1'!H4:H32873,"=Dağıtım-OG",'[7]TABLO-1'!J4:J32873,"=Güvenlik",'[7]TABLO-1'!K4:K32873,"=Bildirimli",'[7]TABLO-1'!I4:I32873,"=Uzun",'[7]TABLO-1'!C4:C32873,"=TEKİRDAĞ")/P13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SUMIFS('[7]TABLO-1'!Y4:Y32873,'[7]TABLO-1'!H4:H32873,"=Dağıtım-OG",'[7]TABLO-1'!J4:J32873,"=Güvenlik",'[7]TABLO-1'!K4:K32873,"=Bildirimli",'[7]TABLO-1'!I4:I32873,"=Uzun",'[7]TABLO-1'!C4:C32873,"=TEKİRDAĞ")/P8</f>
        <v>0</v>
      </c>
      <c r="K23" s="10">
        <f>SUMIFS('[7]TABLO-1'!Z4:Z32873,'[7]TABLO-1'!H4:H32873,"=Dağıtım-OG",'[7]TABLO-1'!J4:J32873,"=Güvenlik",'[7]TABLO-1'!K4:K32873,"=Bildirimli",'[7]TABLO-1'!I4:I32873,"=Uzun",'[7]TABLO-1'!C4:C32873,"=TEKİRDAĞ")/P14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45710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İşletmecisi",'[7]TABLO-1'!K4:K32873,"=Bildirimli",'[7]TABLO-1'!I4:I32873,"=Uzun",'[7]TABLO-1'!C4:C32873,"=TEKİRDAĞ")/P6</f>
        <v>0</v>
      </c>
      <c r="E24" s="10">
        <f>SUMIFS('[7]TABLO-1'!V4:V32873,'[7]TABLO-1'!H4:H32873,"=Dağıtım-AG",'[7]TABLO-1'!J4:J32873,"=Şebeke İşletmecisi",'[7]TABLO-1'!K4:K32873,"=Bildirimli",'[7]TABLO-1'!I4:I32873,"=Uzun",'[7]TABLO-1'!C4:C32873,"=TEKİRDAĞ")/P12</f>
        <v>0.82577295049955624</v>
      </c>
      <c r="F24" s="10">
        <f t="shared" si="5"/>
        <v>0.81983471122681939</v>
      </c>
      <c r="G24" s="12">
        <f>SUMIFS('[7]TABLO-1'!W4:W32873,'[7]TABLO-1'!H4:H32873,"=Dağıtım-AG",'[7]TABLO-1'!J4:J32873,"=Şebeke İşletmecisi",'[7]TABLO-1'!K4:K32873,"=Bildirimli",'[7]TABLO-1'!I4:I32873,"=Uzun",'[7]TABLO-1'!C4:C32873,"=TEKİRDAĞ")/P7</f>
        <v>0</v>
      </c>
      <c r="H24" s="10">
        <f>SUMIFS('[7]TABLO-1'!X4:X32873,'[7]TABLO-1'!H4:H32873,"=Dağıtım-AG",'[7]TABLO-1'!J4:J32873,"=Şebeke İşletmecisi",'[7]TABLO-1'!K4:K32873,"=Bildirimli",'[7]TABLO-1'!I4:I32873,"=Uzun",'[7]TABLO-1'!C4:C32873,"=TEKİRDAĞ")/P13</f>
        <v>1.8034784692518802</v>
      </c>
      <c r="I24" s="10">
        <f t="shared" si="6"/>
        <v>1.7945005622635404</v>
      </c>
      <c r="J24" s="12">
        <f>SUMIFS('[7]TABLO-1'!Y4:Y32873,'[7]TABLO-1'!H4:H32873,"=Dağıtım-AG",'[7]TABLO-1'!J4:J32873,"=Şebeke İşletmecisi",'[7]TABLO-1'!K4:K32873,"=Bildirimli",'[7]TABLO-1'!I4:I32873,"=Uzun",'[7]TABLO-1'!C4:C32873,"=TEKİRDAĞ")/P8</f>
        <v>0</v>
      </c>
      <c r="K24" s="10">
        <f>SUMIFS('[7]TABLO-1'!Z4:Z32873,'[7]TABLO-1'!H4:H32873,"=Dağıtım-AG",'[7]TABLO-1'!J4:J32873,"=Şebeke İşletmecisi",'[7]TABLO-1'!K4:K32873,"=Bildirimli",'[7]TABLO-1'!I4:I32873,"=Uzun",'[7]TABLO-1'!C4:C32873,"=TEKİRDAĞ")/P14</f>
        <v>2.0770659415520725</v>
      </c>
      <c r="L24" s="10">
        <f t="shared" si="7"/>
        <v>2.0303081018264746</v>
      </c>
      <c r="M24" s="11">
        <f t="shared" si="8"/>
        <v>1.0308173989259963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SUMIFS('[7]TABLO-1'!U4:U32873,'[7]TABLO-1'!H4:H32873,"=Dağıtım-AG",'[7]TABLO-1'!J4:J32873,"=Güvenlik",'[7]TABLO-1'!K4:K32873,"=Bildirimli",'[7]TABLO-1'!I4:I32873,"=Uzun",'[7]TABLO-1'!C4:C32873,"=TEKİRDAĞ")/P6</f>
        <v>0</v>
      </c>
      <c r="E25" s="10">
        <f>SUMIFS('[7]TABLO-1'!V4:V32873,'[7]TABLO-1'!H4:H32873,"=Dağıtım-AG",'[7]TABLO-1'!J4:J32873,"=Güvenlik",'[7]TABLO-1'!K4:K32873,"=Bildirimli",'[7]TABLO-1'!I4:I32873,"=Uzun",'[7]TABLO-1'!C4:C32873,"=TEKİRDAĞ")/P12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SUMIFS('[7]TABLO-1'!W4:W32873,'[7]TABLO-1'!H4:H32873,"=Dağıtım-AG",'[7]TABLO-1'!J4:J32873,"=Güvenlik",'[7]TABLO-1'!K4:K32873,"=Bildirimli",'[7]TABLO-1'!I4:I32873,"=Uzun",'[7]TABLO-1'!C4:C32873,"=TEKİRDAĞ")/P7</f>
        <v>0</v>
      </c>
      <c r="H25" s="10">
        <f>SUMIFS('[7]TABLO-1'!X4:X32873,'[7]TABLO-1'!H4:H32873,"=Dağıtım-AG",'[7]TABLO-1'!J4:J32873,"=Güvenlik",'[7]TABLO-1'!K4:K32873,"=Bildirimli",'[7]TABLO-1'!I4:I32873,"=Uzun",'[7]TABLO-1'!C4:C32873,"=TEKİRDAĞ")/P13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SUMIFS('[7]TABLO-1'!Y4:Y32873,'[7]TABLO-1'!H4:H32873,"=Dağıtım-AG",'[7]TABLO-1'!J4:J32873,"=Güvenlik",'[7]TABLO-1'!K4:K32873,"=Bildirimli",'[7]TABLO-1'!I4:I32873,"=Uzun",'[7]TABLO-1'!C4:C32873,"=TEKİRDAĞ")/P8</f>
        <v>0</v>
      </c>
      <c r="K25" s="10">
        <f>SUMIFS('[7]TABLO-1'!Z4:Z32873,'[7]TABLO-1'!H4:H32873,"=Dağıtım-AG",'[7]TABLO-1'!J4:J32873,"=Güvenlik",'[7]TABLO-1'!K4:K32873,"=Bildirimli",'[7]TABLO-1'!I4:I32873,"=Uzun",'[7]TABLO-1'!C4:C32873,"=TEKİRDAĞ")/P14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45.968117647147743</v>
      </c>
      <c r="E26" s="10">
        <f t="shared" ref="E26:M26" si="9">SUM(E21:E25)</f>
        <v>20.38025888678667</v>
      </c>
      <c r="F26" s="10">
        <f t="shared" si="9"/>
        <v>20.564264463263953</v>
      </c>
      <c r="G26" s="10">
        <f t="shared" si="9"/>
        <v>42.000744336974144</v>
      </c>
      <c r="H26" s="10">
        <f t="shared" si="9"/>
        <v>46.449165517782717</v>
      </c>
      <c r="I26" s="10">
        <f t="shared" si="9"/>
        <v>46.427020805612784</v>
      </c>
      <c r="J26" s="10">
        <f t="shared" si="9"/>
        <v>58.248169744436822</v>
      </c>
      <c r="K26" s="10">
        <f t="shared" si="9"/>
        <v>74.560325043952659</v>
      </c>
      <c r="L26" s="10">
        <f t="shared" si="9"/>
        <v>74.193114197240746</v>
      </c>
      <c r="M26" s="11">
        <f t="shared" si="9"/>
        <v>27.490999375459811</v>
      </c>
      <c r="O26" s="43" t="s">
        <v>22</v>
      </c>
      <c r="P26" s="44">
        <f>P20+P17+P23</f>
        <v>740169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İşletmecisi",'[7]TABLO-1'!K4:K32873,"=Bildirimsiz",'[7]TABLO-1'!I4:I32873,"=Uzun",'[7]TABLO-1'!C4:C32873,"=TEKİRDAĞ")/P6</f>
        <v>0</v>
      </c>
      <c r="E31" s="10">
        <f>SUMIFS('[7]TABLO-1'!P4:P32873,'[7]TABLO-1'!H4:H32873,"=İletim",'[7]TABLO-1'!J4:J32873,"=Şebeke İşletmecisi",'[7]TABLO-1'!K4:K32873,"=Bildirimsiz",'[7]TABLO-1'!I4:I32873,"=Uzun",'[7]TABLO-1'!C4:C32873,"=TEKİRDAĞ")/P12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İşletmecisi",'[7]TABLO-1'!K4:K32873,"=Bildirimsiz",'[7]TABLO-1'!I4:I32873,"=Uzun",'[7]TABLO-1'!C4:C32873,"=TEKİRDAĞ")/P7</f>
        <v>0</v>
      </c>
      <c r="H31" s="10">
        <f>SUMIFS('[7]TABLO-1'!R4:R32873,'[7]TABLO-1'!H4:H32873,"=İletim",'[7]TABLO-1'!J4:J32873,"=Şebeke İşletmecisi",'[7]TABLO-1'!K4:K32873,"=Bildirimsiz",'[7]TABLO-1'!I4:I32873,"=Uzun",'[7]TABLO-1'!C4:C32873,"=TEKİRDAĞ")/P13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İşletmecisi",'[7]TABLO-1'!K4:K32873,"=Bildirimsiz",'[7]TABLO-1'!I4:I32873,"=Uzun",'[7]TABLO-1'!C4:C32873,"=TEKİRDAĞ")/P8</f>
        <v>0</v>
      </c>
      <c r="K31" s="10">
        <f>SUMIFS('[7]TABLO-1'!T4:T32873,'[7]TABLO-1'!H4:H32873,"=İletim",'[7]TABLO-1'!J4:J32873,"=Şebeke İşletmecisi",'[7]TABLO-1'!K4:K32873,"=bildirimsiz",'[7]TABLO-1'!I4:I32873,"=Uzun",'[7]TABLO-1'!C4:C32873,"=TEKİRDAĞ")/P14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Sebep",'[7]TABLO-1'!K4:K32873,"=Bildirimsiz",'[7]TABLO-1'!I4:I32873,"=Uzun",'[7]TABLO-1'!C4:C32873,"=TEKİRDAĞ")/P6</f>
        <v>0</v>
      </c>
      <c r="E32" s="10">
        <f>SUMIFS('[7]TABLO-1'!P4:P32873,'[7]TABLO-1'!H4:H32873,"=İletim",'[7]TABLO-1'!J4:J32873,"=Mücbir Sebep",'[7]TABLO-1'!K4:K32873,"=Bildirimsiz",'[7]TABLO-1'!I4:I32873,"=Uzun",'[7]TABLO-1'!C4:C32873,"=TEKİRDAĞ")/P12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Sebep",'[7]TABLO-1'!K4:K32873,"=Bildirimsiz",'[7]TABLO-1'!I4:I32873,"=Uzun",'[7]TABLO-1'!C4:C32873,"=TEKİRDAĞ")/P7</f>
        <v>0</v>
      </c>
      <c r="H32" s="10">
        <f>SUMIFS('[7]TABLO-1'!R4:R32873,'[7]TABLO-1'!H4:H32873,"=İletim",'[7]TABLO-1'!J4:J32873,"=Mücbir Sebep",'[7]TABLO-1'!K4:K32873,"=Bildirimsiz",'[7]TABLO-1'!I4:I32873,"=Uzun",'[7]TABLO-1'!C4:C32873,"=TEKİRDAĞ")/P13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Sebep",'[7]TABLO-1'!K4:K32873,"=Bildirimsiz",'[7]TABLO-1'!I4:I32873,"=Uzun",'[7]TABLO-1'!C4:C32873,"=TEKİRDAĞ")/P8</f>
        <v>0</v>
      </c>
      <c r="K32" s="10">
        <f>SUMIFS('[7]TABLO-1'!T4:T32873,'[7]TABLO-1'!H4:H32873,"=İletim",'[7]TABLO-1'!J4:J32873,"=Mücbir Sebep",'[7]TABLO-1'!K4:K32873,"=bildirimsiz",'[7]TABLO-1'!I4:I32873,"=Uzun",'[7]TABLO-1'!C4:C32873,"=TEKİRDAĞ")/P14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İşletmecisi",'[7]TABLO-1'!K4:K32873,"=Bildirimsiz",'[7]TABLO-1'!I4:I32873,"=Uzun",'[7]TABLO-1'!C4:C32873,"=TEKİRDAĞ")/P6</f>
        <v>0.37364705882352939</v>
      </c>
      <c r="E33" s="10">
        <f>SUMIFS('[7]TABLO-1'!P4:P32873,'[7]TABLO-1'!H4:H32873,"=Dağıtım-OG",'[7]TABLO-1'!J4:J32873,"=Şebeke İşletmecisi",'[7]TABLO-1'!K4:K32873,"=Bildirimsiz",'[7]TABLO-1'!I4:I32873,"=Uzun",'[7]TABLO-1'!C4:C32873,"=TEKİRDAĞ")/P12</f>
        <v>0.53792547498449095</v>
      </c>
      <c r="F33" s="10">
        <f t="shared" si="10"/>
        <v>0.53674412780919301</v>
      </c>
      <c r="G33" s="10">
        <f>SUMIFS('[7]TABLO-1'!Q4:Q32873,'[7]TABLO-1'!H4:H32873,"=Dağıtım-OG",'[7]TABLO-1'!J4:J32873,"=Şebeke İşletmecisi",'[7]TABLO-1'!K4:K32873,"=Bildirimsiz",'[7]TABLO-1'!I4:I32873,"=Uzun",'[7]TABLO-1'!C4:C32873,"=TEKİRDAĞ")/P7</f>
        <v>0.46990291262135925</v>
      </c>
      <c r="H33" s="10">
        <f>SUMIFS('[7]TABLO-1'!R4:R32873,'[7]TABLO-1'!H4:H32873,"=Dağıtım-OG",'[7]TABLO-1'!J4:J32873,"=Şebeke İşletmecisi",'[7]TABLO-1'!K4:K32873,"=Bildirimsiz",'[7]TABLO-1'!I4:I32873,"=Uzun",'[7]TABLO-1'!C4:C32873,"=TEKİRDAĞ")/P13</f>
        <v>0.59155025355068103</v>
      </c>
      <c r="I33" s="10">
        <f t="shared" si="11"/>
        <v>0.59094468019293789</v>
      </c>
      <c r="J33" s="10">
        <f>SUMIFS('[7]TABLO-1'!S4:S32873,'[7]TABLO-1'!H4:H32873,"=Dağıtım-OG",'[7]TABLO-1'!J4:J32873,"=Şebeke İşletmecisi",'[7]TABLO-1'!K4:K32873,"=Bildirimsiz",'[7]TABLO-1'!I4:I32873,"=Uzun",'[7]TABLO-1'!C4:C32873,"=TEKİRDAĞ")/P8</f>
        <v>0.42857142857142855</v>
      </c>
      <c r="K33" s="10">
        <f>SUMIFS('[7]TABLO-1'!T4:T32873,'[7]TABLO-1'!H4:H32873,"=Dağıtım-OG",'[7]TABLO-1'!J4:J32873,"=Şebeke İşletmecisi",'[7]TABLO-1'!K4:K32873,"=bildirimsiz",'[7]TABLO-1'!I4:I32873,"=Uzun",'[7]TABLO-1'!C4:C32873,"=TEKİRDAĞ")/P14</f>
        <v>0.95369396387726324</v>
      </c>
      <c r="L33" s="10">
        <f t="shared" si="12"/>
        <v>0.94187267556333409</v>
      </c>
      <c r="M33" s="11">
        <f t="shared" si="13"/>
        <v>0.56933889422550787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SUMIFS('[7]TABLO-1'!O4:O32873,'[7]TABLO-1'!H4:H32873,"=Dağıtım-OG",'[7]TABLO-1'!J4:J32873,"=Dışsal",'[7]TABLO-1'!K4:K32873,"=Bildirimsiz",'[7]TABLO-1'!I4:I32873,"=Uzun",'[7]TABLO-1'!C4:C32873,"=TEKİRDAĞ")/P6</f>
        <v>1.4823529411764706E-2</v>
      </c>
      <c r="E34" s="10">
        <f>SUMIFS('[7]TABLO-1'!P4:P32873,'[7]TABLO-1'!H4:H32873,"=Dağıtım-OG",'[7]TABLO-1'!J4:J32873,"=Dışsal",'[7]TABLO-1'!K4:K32873,"=Bildirimsiz",'[7]TABLO-1'!I4:I32873,"=Uzun",'[7]TABLO-1'!C4:C32873,"=TEKİRDAĞ")/P12</f>
        <v>3.8670247939518302E-3</v>
      </c>
      <c r="F34" s="10">
        <f t="shared" si="10"/>
        <v>3.9458144248958552E-3</v>
      </c>
      <c r="G34" s="10">
        <f>SUMIFS('[7]TABLO-1'!Q4:Q32873,'[7]TABLO-1'!H4:H32873,"=Dağıtım-OG",'[7]TABLO-1'!J4:J32873,"=Dışsal",'[7]TABLO-1'!K4:K32873,"=Bildirimsiz",'[7]TABLO-1'!I4:I32873,"=Uzun",'[7]TABLO-1'!C4:C32873,"=TEKİRDAĞ")/P7</f>
        <v>2.1359223300970873E-2</v>
      </c>
      <c r="H34" s="10">
        <f>SUMIFS('[7]TABLO-1'!R4:R32873,'[7]TABLO-1'!H4:H32873,"=Dağıtım-OG",'[7]TABLO-1'!J4:J32873,"=Dışsal",'[7]TABLO-1'!K4:K32873,"=Bildirimsiz",'[7]TABLO-1'!I4:I32873,"=Uzun",'[7]TABLO-1'!C4:C32873,"=TEKİRDAĞ")/P13</f>
        <v>3.6575414327070663E-2</v>
      </c>
      <c r="I34" s="10">
        <f t="shared" si="11"/>
        <v>3.6499666515229137E-2</v>
      </c>
      <c r="J34" s="10">
        <f>SUMIFS('[7]TABLO-1'!S4:S32873,'[7]TABLO-1'!H4:H32873,"=Dağıtım-OG",'[7]TABLO-1'!J4:J32873,"=Dışsal",'[7]TABLO-1'!K4:K32873,"=Bildirimsiz",'[7]TABLO-1'!I4:I32873,"=Uzun",'[7]TABLO-1'!C4:C32873,"=TEKİRDAĞ")/P8</f>
        <v>5.1506316812439258E-2</v>
      </c>
      <c r="K34" s="10">
        <f>SUMIFS('[7]TABLO-1'!T4:T32873,'[7]TABLO-1'!H4:H32873,"=Dağıtım-OG",'[7]TABLO-1'!J4:J32873,"=Dışsal",'[7]TABLO-1'!K4:K32873,"=bildirimsiz",'[7]TABLO-1'!I4:I32873,"=Uzun",'[7]TABLO-1'!C4:C32873,"=TEKİRDAĞ")/P14</f>
        <v>4.1829860567131442E-2</v>
      </c>
      <c r="L34" s="10">
        <f t="shared" si="12"/>
        <v>4.2047691971122292E-2</v>
      </c>
      <c r="M34" s="11">
        <f t="shared" si="13"/>
        <v>1.084887370316779E-2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Sebep",'[7]TABLO-1'!K4:K32873,"=Bildirimsiz",'[7]TABLO-1'!I4:I32873,"=Uzun",'[7]TABLO-1'!C4:C32873,"=TEKİRDAĞ")/P6</f>
        <v>0</v>
      </c>
      <c r="E35" s="10">
        <f>SUMIFS('[7]TABLO-1'!P4:P32873,'[7]TABLO-1'!H4:H32873,"=Dağıtım-OG",'[7]TABLO-1'!J4:J32873,"=Mücbir Sebep",'[7]TABLO-1'!K4:K32873,"=Bildirimsiz",'[7]TABLO-1'!I4:I32873,"=Uzun",'[7]TABLO-1'!C4:C32873,"=TEKİRDAĞ")/P12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Sebep",'[7]TABLO-1'!K4:K32873,"=Bildirimsiz",'[7]TABLO-1'!I4:I32873,"=Uzun",'[7]TABLO-1'!C4:C32873,"=TEKİRDAĞ")/P7</f>
        <v>0</v>
      </c>
      <c r="H35" s="10">
        <f>SUMIFS('[7]TABLO-1'!R4:R32873,'[7]TABLO-1'!H4:H32873,"=Dağıtım-OG",'[7]TABLO-1'!J4:J32873,"=Mücbir Sebep",'[7]TABLO-1'!K4:K32873,"=Bildirimsiz",'[7]TABLO-1'!I4:I32873,"=Uzun",'[7]TABLO-1'!C4:C32873,"=TEKİRDAĞ")/P13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Sebep",'[7]TABLO-1'!K4:K32873,"=Bildirimsiz",'[7]TABLO-1'!I4:I32873,"=Uzun",'[7]TABLO-1'!C4:C32873,"=TEKİRDAĞ")/P8</f>
        <v>0</v>
      </c>
      <c r="K35" s="10">
        <f>SUMIFS('[7]TABLO-1'!T4:T32873,'[7]TABLO-1'!H4:H32873,"=Dağıtım-OG",'[7]TABLO-1'!J4:J32873,"=Mücbir Sebep",'[7]TABLO-1'!K4:K32873,"=bildirimsiz",'[7]TABLO-1'!I4:I32873,"=Uzun",'[7]TABLO-1'!C4:C32873,"=TEKİRDAĞ")/P14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SUMIFS('[7]TABLO-1'!O4:O32873,'[7]TABLO-1'!H4:H32873,"=Dağıtım-OG",'[7]TABLO-1'!J4:J32873,"=Güvenlik",'[7]TABLO-1'!K4:K32873,"=Bildirimsiz",'[7]TABLO-1'!I4:I32873,"=Uzun",'[7]TABLO-1'!C4:C32873,"=TEKİRDAĞ")/P6</f>
        <v>0</v>
      </c>
      <c r="E36" s="10">
        <f>SUMIFS('[7]TABLO-1'!P4:P32873,'[7]TABLO-1'!H4:H32873,"=Dağıtım-OG",'[7]TABLO-1'!J4:J32873,"=Güvenlik",'[7]TABLO-1'!K4:K32873,"=Bildirimsiz",'[7]TABLO-1'!I4:I32873,"=Uzun",'[7]TABLO-1'!C4:C32873,"=TEKİRDAĞ")/P12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SUMIFS('[7]TABLO-1'!Q4:Q32873,'[7]TABLO-1'!H4:H32873,"=Dağıtım-OG",'[7]TABLO-1'!J4:J32873,"=Güvenlik",'[7]TABLO-1'!K4:K32873,"=Bildirimsiz",'[7]TABLO-1'!I4:I32873,"=Uzun",'[7]TABLO-1'!C4:C32873,"=TEKİRDAĞ")/P7</f>
        <v>0</v>
      </c>
      <c r="H36" s="10">
        <f>SUMIFS('[7]TABLO-1'!R4:R32873,'[7]TABLO-1'!H4:H32873,"=Dağıtım-OG",'[7]TABLO-1'!J4:J32873,"=Güvenlik",'[7]TABLO-1'!K4:K32873,"=Bildirimsiz",'[7]TABLO-1'!I4:I32873,"=Uzun",'[7]TABLO-1'!C4:C32873,"=TEKİRDAĞ")/P13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SUMIFS('[7]TABLO-1'!S4:S32873,'[7]TABLO-1'!H4:H32873,"=Dağıtım-OG",'[7]TABLO-1'!J4:J32873,"=Güvenlik",'[7]TABLO-1'!K4:K32873,"=Bildirimsiz",'[7]TABLO-1'!I4:I32873,"=Uzun",'[7]TABLO-1'!C4:C32873,"=TEKİRDAĞ")/P8</f>
        <v>0</v>
      </c>
      <c r="K36" s="10">
        <f>SUMIFS('[7]TABLO-1'!T4:T32873,'[7]TABLO-1'!H4:H32873,"=Dağıtım-OG",'[7]TABLO-1'!J4:J32873,"=Güvenlik",'[7]TABLO-1'!K4:K32873,"=bildirimsiz",'[7]TABLO-1'!I4:I32873,"=Uzun",'[7]TABLO-1'!C4:C32873,"=TEKİRDAĞ")/P14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İşletmecisi",'[7]TABLO-1'!K4:K32873,"=Bildirimsiz",'[7]TABLO-1'!I4:I32873,"=Uzun",'[7]TABLO-1'!C4:C32873,"=TEKİRDAĞ")/P6</f>
        <v>0</v>
      </c>
      <c r="E37" s="10">
        <f>SUMIFS('[7]TABLO-1'!P4:P32873,'[7]TABLO-1'!H4:H32873,"=Dağıtım-AG",'[7]TABLO-1'!J4:J32873,"=Şebeke İşletmecisi",'[7]TABLO-1'!K4:K32873,"=Bildirimsiz",'[7]TABLO-1'!I4:I32873,"=Uzun",'[7]TABLO-1'!C4:C32873,"=TEKİRDAĞ")/P12</f>
        <v>5.96210349787646E-2</v>
      </c>
      <c r="F37" s="10">
        <f t="shared" si="10"/>
        <v>5.9192292464035901E-2</v>
      </c>
      <c r="G37" s="12">
        <f>SUMIFS('[7]TABLO-1'!Q4:Q32873,'[7]TABLO-1'!H4:H32873,"=Dağıtım-AG",'[7]TABLO-1'!J4:J32873,"=Şebeke İşletmecisi",'[7]TABLO-1'!K4:K32873,"=Bildirimsiz",'[7]TABLO-1'!I4:I32873,"=Uzun",'[7]TABLO-1'!C4:C32873,"=TEKİRDAĞ")/P7</f>
        <v>0</v>
      </c>
      <c r="H37" s="10">
        <f>SUMIFS('[7]TABLO-1'!R4:R32873,'[7]TABLO-1'!H4:H32873,"=Dağıtım-AG",'[7]TABLO-1'!J4:J32873,"=Şebeke İşletmecisi",'[7]TABLO-1'!K4:K32873,"=Bildirimsiz",'[7]TABLO-1'!I4:I32873,"=Uzun",'[7]TABLO-1'!C4:C32873,"=TEKİRDAĞ")/P13</f>
        <v>6.3688822397948278E-2</v>
      </c>
      <c r="I37" s="10">
        <f t="shared" si="11"/>
        <v>6.3371772689047201E-2</v>
      </c>
      <c r="J37" s="12">
        <f>SUMIFS('[7]TABLO-1'!S4:S32873,'[7]TABLO-1'!H4:H32873,"=Dağıtım-AG",'[7]TABLO-1'!J4:J32873,"=Şebeke İşletmecisi",'[7]TABLO-1'!K4:K32873,"=Bildirimsiz",'[7]TABLO-1'!I4:I32873,"=Uzun",'[7]TABLO-1'!C4:C32873,"=TEKİRDAĞ")/P8</f>
        <v>0</v>
      </c>
      <c r="K37" s="10">
        <f>SUMIFS('[7]TABLO-1'!T4:T32873,'[7]TABLO-1'!H4:H32873,"=Dağıtım-AG",'[7]TABLO-1'!J4:J32873,"=Şebeke İşletmecisi",'[7]TABLO-1'!K4:K32873,"=bildirimsiz",'[7]TABLO-1'!I4:I32873,"=Uzun",'[7]TABLO-1'!C4:C32873,"=TEKİRDAĞ")/P14</f>
        <v>6.0741702289563798E-2</v>
      </c>
      <c r="L37" s="10">
        <f t="shared" si="12"/>
        <v>5.9374316342157077E-2</v>
      </c>
      <c r="M37" s="11">
        <f t="shared" si="13"/>
        <v>5.9787697134032904E-2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SUMIFS('[7]TABLO-1'!O4:O32873,'[7]TABLO-1'!H4:H32873,"=Dağıtım-AG",'[7]TABLO-1'!J4:J32873,"=Dışsal",'[7]TABLO-1'!K4:K32873,"=Bildirimsiz",'[7]TABLO-1'!I4:I32873,"=Uzun",'[7]TABLO-1'!C4:C32873,"=TEKİRDAĞ")/P6</f>
        <v>0</v>
      </c>
      <c r="E38" s="10">
        <f>SUMIFS('[7]TABLO-1'!P4:P32873,'[7]TABLO-1'!H4:H32873,"=Dağıtım-AG",'[7]TABLO-1'!J4:J32873,"=Dışsal",'[7]TABLO-1'!K4:K32873,"=Bildirimsiz",'[7]TABLO-1'!I4:I32873,"=Uzun",'[7]TABLO-1'!C4:C32873,"=TEKİRDAĞ")/P12</f>
        <v>3.17678898894941E-3</v>
      </c>
      <c r="F38" s="10">
        <f t="shared" si="10"/>
        <v>3.1539442915977166E-3</v>
      </c>
      <c r="G38" s="12">
        <f>SUMIFS('[7]TABLO-1'!Q4:Q32873,'[7]TABLO-1'!H4:H32873,"=Dağıtım-AG",'[7]TABLO-1'!J4:J32873,"=Dışsal",'[7]TABLO-1'!K4:K32873,"=Bildirimsiz",'[7]TABLO-1'!I4:I32873,"=Uzun",'[7]TABLO-1'!C4:C32873,"=TEKİRDAĞ")/P7</f>
        <v>0</v>
      </c>
      <c r="H38" s="10">
        <f>SUMIFS('[7]TABLO-1'!R4:R32873,'[7]TABLO-1'!H4:H32873,"=Dağıtım-AG",'[7]TABLO-1'!J4:J32873,"=Dışsal",'[7]TABLO-1'!K4:K32873,"=Bildirimsiz",'[7]TABLO-1'!I4:I32873,"=Uzun",'[7]TABLO-1'!C4:C32873,"=TEKİRDAĞ")/P13</f>
        <v>4.7115739571392491E-3</v>
      </c>
      <c r="I38" s="10">
        <f t="shared" si="11"/>
        <v>4.6881192425545903E-3</v>
      </c>
      <c r="J38" s="12">
        <f>SUMIFS('[7]TABLO-1'!S4:S32873,'[7]TABLO-1'!H4:H32873,"=Dağıtım-AG",'[7]TABLO-1'!J4:J32873,"=Dışsal",'[7]TABLO-1'!K4:K32873,"=Bildirimsiz",'[7]TABLO-1'!I4:I32873,"=Uzun",'[7]TABLO-1'!C4:C32873,"=TEKİRDAĞ")/P8</f>
        <v>0</v>
      </c>
      <c r="K38" s="10">
        <f>SUMIFS('[7]TABLO-1'!T4:T32873,'[7]TABLO-1'!H4:H32873,"=Dağıtım-AG",'[7]TABLO-1'!J4:J32873,"=Dışsal",'[7]TABLO-1'!K4:K32873,"=bildirimsiz",'[7]TABLO-1'!I4:I32873,"=Uzun",'[7]TABLO-1'!C4:C32873,"=TEKİRDAĞ")/P14</f>
        <v>8.7285423334303169E-4</v>
      </c>
      <c r="L38" s="10">
        <f t="shared" si="12"/>
        <v>8.5320498796762198E-4</v>
      </c>
      <c r="M38" s="11">
        <f t="shared" si="13"/>
        <v>3.2262902121002095E-3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Sebep",'[7]TABLO-1'!K4:K32873,"=Bildirimsiz",'[7]TABLO-1'!I4:I32873,"=Uzun",'[7]TABLO-1'!C4:C32873,"=TEKİRDAĞ")/P6</f>
        <v>0</v>
      </c>
      <c r="E39" s="10">
        <f>SUMIFS('[7]TABLO-1'!P4:P32873,'[7]TABLO-1'!H4:H32873,"=Dağıtım-AG",'[7]TABLO-1'!J4:J32873,"=Mücbir Sebep",'[7]TABLO-1'!K4:K32873,"=Bildirimsiz",'[7]TABLO-1'!I4:I32873,"=Uzun",'[7]TABLO-1'!C4:C32873,"=TEKİRDAĞ")/P12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Sebep",'[7]TABLO-1'!K4:K32873,"=Bildirimsiz",'[7]TABLO-1'!I4:I32873,"=Uzun",'[7]TABLO-1'!C4:C32873,"=TEKİRDAĞ")/P7</f>
        <v>0</v>
      </c>
      <c r="H39" s="10">
        <f>SUMIFS('[7]TABLO-1'!R4:R32873,'[7]TABLO-1'!H4:H32873,"=Dağıtım-AG",'[7]TABLO-1'!J4:J32873,"=Mücbir Sebep",'[7]TABLO-1'!K4:K32873,"=Bildirimsiz",'[7]TABLO-1'!I4:I32873,"=Uzun",'[7]TABLO-1'!C4:C32873,"=TEKİRDAĞ")/P13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Sebep",'[7]TABLO-1'!K4:K32873,"=Bildirimsiz",'[7]TABLO-1'!I4:I32873,"=Uzun",'[7]TABLO-1'!C4:C32873,"=TEKİRDAĞ")/P8</f>
        <v>0</v>
      </c>
      <c r="K39" s="10">
        <f>SUMIFS('[7]TABLO-1'!T4:T32873,'[7]TABLO-1'!H4:H32873,"=Dağıtım-AG",'[7]TABLO-1'!J4:J32873,"=Mücbir Sebep",'[7]TABLO-1'!K4:K32873,"=bildirimsiz",'[7]TABLO-1'!I4:I32873,"=Uzun",'[7]TABLO-1'!C4:C32873,"=TEKİRDAĞ")/P14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SUMIFS('[7]TABLO-1'!O4:O32873,'[7]TABLO-1'!H4:H32873,"=Dağıtım-AG",'[7]TABLO-1'!J4:J32873,"=Güvenlik",'[7]TABLO-1'!K4:K32873,"=Bildirimsiz",'[7]TABLO-1'!I4:I32873,"=Uzun",'[7]TABLO-1'!C4:C32873,"=TEKİRDAĞ")/P6</f>
        <v>0</v>
      </c>
      <c r="E40" s="10">
        <f>SUMIFS('[7]TABLO-1'!P4:P32873,'[7]TABLO-1'!H4:H32873,"=Dağıtım-AG",'[7]TABLO-1'!J4:J32873,"=Güvenlik",'[7]TABLO-1'!K4:K32873,"=Bildirimsiz",'[7]TABLO-1'!I4:I32873,"=Uzun",'[7]TABLO-1'!C4:C32873,"=TEKİRDAĞ")/P12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SUMIFS('[7]TABLO-1'!Q4:Q32873,'[7]TABLO-1'!H4:H32873,"=Dağıtım-AG",'[7]TABLO-1'!J4:J32873,"=Güvenlik",'[7]TABLO-1'!K4:K32873,"=Bildirimsiz",'[7]TABLO-1'!I4:I32873,"=Uzun",'[7]TABLO-1'!C4:C32873,"=TEKİRDAĞ")/P7</f>
        <v>0</v>
      </c>
      <c r="H40" s="10">
        <f>SUMIFS('[7]TABLO-1'!R4:R32873,'[7]TABLO-1'!H4:H32873,"=Dağıtım-AG",'[7]TABLO-1'!J4:J32873,"=Güvenlik",'[7]TABLO-1'!K4:K32873,"=Bildirimsiz",'[7]TABLO-1'!I4:I32873,"=Uzun",'[7]TABLO-1'!C4:C32873,"=TEKİRDAĞ")/P13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SUMIFS('[7]TABLO-1'!S4:S32873,'[7]TABLO-1'!H4:H32873,"=Dağıtım-AG",'[7]TABLO-1'!J4:J32873,"=Güvenlik",'[7]TABLO-1'!K4:K32873,"=Bildirimsiz",'[7]TABLO-1'!I4:I32873,"=Uzun",'[7]TABLO-1'!C4:C32873,"=TEKİRDAĞ")/P8</f>
        <v>0</v>
      </c>
      <c r="K40" s="10">
        <f>SUMIFS('[7]TABLO-1'!T4:T32873,'[7]TABLO-1'!H4:H32873,"=Dağıtım-AG",'[7]TABLO-1'!J4:J32873,"=Güvenlik",'[7]TABLO-1'!K4:K32873,"=bildirimsiz",'[7]TABLO-1'!I4:I32873,"=Uzun",'[7]TABLO-1'!C4:C32873,"=TEKİRDAĞ")/P14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0.38847058823529407</v>
      </c>
      <c r="E41" s="10">
        <f t="shared" ref="E41:M41" si="14">SUM(E31:E40)</f>
        <v>0.60459032374615684</v>
      </c>
      <c r="F41" s="10">
        <f t="shared" si="14"/>
        <v>0.6030361789897225</v>
      </c>
      <c r="G41" s="10">
        <f t="shared" si="14"/>
        <v>0.49126213592233015</v>
      </c>
      <c r="H41" s="10">
        <f t="shared" si="14"/>
        <v>0.69652606423283925</v>
      </c>
      <c r="I41" s="10">
        <f t="shared" si="14"/>
        <v>0.69550423863976885</v>
      </c>
      <c r="J41" s="10">
        <f t="shared" si="14"/>
        <v>0.48007774538386783</v>
      </c>
      <c r="K41" s="10">
        <f t="shared" si="14"/>
        <v>1.0571383809673014</v>
      </c>
      <c r="L41" s="10">
        <f t="shared" si="14"/>
        <v>1.0441478888645812</v>
      </c>
      <c r="M41" s="10">
        <f t="shared" si="14"/>
        <v>0.64320175527480872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İşletmecisi",'[7]TABLO-1'!K4:K32873,"=Bildirimli",'[7]TABLO-1'!I4:I32873,"=Uzun",'[7]TABLO-1'!C4:C32873,"=TEKİRDAĞ")/P6</f>
        <v>4.7058823529411766E-4</v>
      </c>
      <c r="E46" s="10">
        <f>SUMIFS('[7]TABLO-1'!P4:P32873,'[7]TABLO-1'!H4:H32873,"=İletim",'[7]TABLO-1'!J4:J32873,"=Şebeke İşletmecisi",'[7]TABLO-1'!K4:K32873,"=Bildirimli",'[7]TABLO-1'!I4:I32873,"=Uzun",'[7]TABLO-1'!C4:C32873,"=TEKİRDAĞ")/P12</f>
        <v>2.7609432200096805E-4</v>
      </c>
      <c r="F46" s="10">
        <f>IFERROR((((D46*$P$6)+(E46*$P$12))/$P$17),"0,00")</f>
        <v>2.7749295269421969E-4</v>
      </c>
      <c r="G46" s="10">
        <f>SUMIFS('[7]TABLO-1'!Q4:Q32873,'[7]TABLO-1'!H4:H32873,"=İletim",'[7]TABLO-1'!J4:J32873,"=Şebeke İşletmecisi",'[7]TABLO-1'!K4:K32873,"=Bildirimli",'[7]TABLO-1'!I4:I32873,"=Uzun",'[7]TABLO-1'!C4:C32873,"=TEKİRDAĞ")/P7</f>
        <v>0</v>
      </c>
      <c r="H46" s="10">
        <f>SUMIFS('[7]TABLO-1'!R4:R32873,'[7]TABLO-1'!H4:H32873,"=İletim",'[7]TABLO-1'!J4:J32873,"=Şebeke İşletmecisi",'[7]TABLO-1'!K4:K32873,"=Bildirimli",'[7]TABLO-1'!I4:I32873,"=Uzun",'[7]TABLO-1'!C4:C32873,"=TEKİRDAĞ")/P13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İşletmecisi",'[7]TABLO-1'!K4:K32873,"=Bildirimli",'[7]TABLO-1'!I4:I32873,"=Uzun",'[7]TABLO-1'!C4:C32873,"=TEKİRDAĞ")/P8</f>
        <v>0</v>
      </c>
      <c r="K46" s="10">
        <f>SUMIFS('[7]TABLO-1'!T4:T32873,'[7]TABLO-1'!H4:H32873,"=İletim",'[7]TABLO-1'!J4:J32873,"=Şebeke İşletmecisi",'[7]TABLO-1'!K4:K32873,"=bildirimli",'[7]TABLO-1'!I4:I32873,"=Uzun",'[7]TABLO-1'!C4:C32873,"=TEKİRDAĞ")/P14</f>
        <v>0</v>
      </c>
      <c r="L46" s="10">
        <f>IFERROR((((J46*$P$8)+(K46*$P$14))/$P$23),"0,00")</f>
        <v>0</v>
      </c>
      <c r="M46" s="11">
        <f>IFERROR((((F46*$P$17)+(I46*$P$20)+(L46*$P$23))/$P$26),"0,00")</f>
        <v>2.2157101959147167E-4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İşletmecisi",'[7]TABLO-1'!K4:K32873,"=Bildirimli",'[7]TABLO-1'!I4:I32873,"=Uzun",'[7]TABLO-1'!C4:C32873,"=TEKİRDAĞ")/P6</f>
        <v>0.32070588235294117</v>
      </c>
      <c r="E47" s="10">
        <f>SUMIFS('[7]TABLO-1'!P4:P32873,'[7]TABLO-1'!H4:H32873,"=Dağıtım-OG",'[7]TABLO-1'!J4:J32873,"=Şebeke İşletmecisi",'[7]TABLO-1'!K4:K32873,"=Bildirimli",'[7]TABLO-1'!I4:I32873,"=Uzun",'[7]TABLO-1'!C4:C32873,"=TEKİRDAĞ")/P12</f>
        <v>0.16689220050583206</v>
      </c>
      <c r="F47" s="10">
        <f t="shared" ref="F47:F50" si="15">IFERROR((((D47*$P$6)+(E47*$P$12))/$P$17),"0,00")</f>
        <v>0.16799829443355904</v>
      </c>
      <c r="G47" s="10">
        <f>SUMIFS('[7]TABLO-1'!Q4:Q32873,'[7]TABLO-1'!H4:H32873,"=Dağıtım-OG",'[7]TABLO-1'!J4:J32873,"=Şebeke İşletmecisi",'[7]TABLO-1'!K4:K32873,"=Bildirimli",'[7]TABLO-1'!I4:I32873,"=Uzun",'[7]TABLO-1'!C4:C32873,"=TEKİRDAĞ")/P7</f>
        <v>0.90097087378640772</v>
      </c>
      <c r="H47" s="10">
        <f>SUMIFS('[7]TABLO-1'!R4:R32873,'[7]TABLO-1'!H4:H32873,"=Dağıtım-OG",'[7]TABLO-1'!J4:J32873,"=Şebeke İşletmecisi",'[7]TABLO-1'!K4:K32873,"=Bildirimli",'[7]TABLO-1'!I4:I32873,"=Uzun",'[7]TABLO-1'!C4:C32873,"=TEKİRDAĞ")/P13</f>
        <v>0.97580096757271362</v>
      </c>
      <c r="I47" s="10">
        <f t="shared" ref="I47:I50" si="16">IFERROR((((G47*$P$7)+(H47*$P$13))/$P$20),"0,00")</f>
        <v>0.97542845543386847</v>
      </c>
      <c r="J47" s="10">
        <f>SUMIFS('[7]TABLO-1'!S4:S32873,'[7]TABLO-1'!H4:H32873,"=Dağıtım-OG",'[7]TABLO-1'!J4:J32873,"=Şebeke İşletmecisi",'[7]TABLO-1'!K4:K32873,"=Bildirimli",'[7]TABLO-1'!I4:I32873,"=Uzun",'[7]TABLO-1'!C4:C32873,"=TEKİRDAĞ")/P8</f>
        <v>0.43926141885325559</v>
      </c>
      <c r="K47" s="10">
        <f>SUMIFS('[7]TABLO-1'!T4:T32873,'[7]TABLO-1'!H4:H32873,"=Dağıtım-OG",'[7]TABLO-1'!J4:J32873,"=Şebeke İşletmecisi",'[7]TABLO-1'!K4:K32873,"=bildirimli",'[7]TABLO-1'!I4:I32873,"=Uzun",'[7]TABLO-1'!C4:C32873,"=TEKİRDAĞ")/P14</f>
        <v>0.64537499160717082</v>
      </c>
      <c r="L47" s="10">
        <f t="shared" ref="L47:L50" si="17">IFERROR((((J47*$P$8)+(K47*$P$14))/$P$23),"0,00")</f>
        <v>0.64073506891271059</v>
      </c>
      <c r="M47" s="11">
        <f t="shared" ref="M47:M50" si="18">IFERROR((((F47*$P$17)+(I47*$P$20)+(L47*$P$23))/$P$26),"0,00")</f>
        <v>0.31004675959139061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SUMIFS('[7]TABLO-1'!O4:O32873,'[7]TABLO-1'!H4:H32873,"=Dağıtım-OG",'[7]TABLO-1'!J4:J32873,"=Güvenlik",'[7]TABLO-1'!K4:K32873,"=Bildirimli",'[7]TABLO-1'!I4:I32873,"=Uzun",'[7]TABLO-1'!C4:C32873,"=TEKİRDAĞ")/P6</f>
        <v>0</v>
      </c>
      <c r="E48" s="10">
        <f>SUMIFS('[7]TABLO-1'!P4:P32873,'[7]TABLO-1'!H4:H32873,"=Dağıtım-OG",'[7]TABLO-1'!J4:J32873,"=Güvenlik",'[7]TABLO-1'!K4:K32873,"=Bildirimli",'[7]TABLO-1'!I4:I32873,"=Uzun",'[7]TABLO-1'!C4:C32873,"=TEKİRDAĞ")/P12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SUMIFS('[7]TABLO-1'!Q4:Q32873,'[7]TABLO-1'!H4:H32873,"=Dağıtım-OG",'[7]TABLO-1'!J4:J32873,"=Güvenlik",'[7]TABLO-1'!K4:K32873,"=Bildirimli",'[7]TABLO-1'!I4:I32873,"=Uzun",'[7]TABLO-1'!C4:C32873,"=TEKİRDAĞ")/P7</f>
        <v>0</v>
      </c>
      <c r="H48" s="10">
        <f>SUMIFS('[7]TABLO-1'!R4:R32873,'[7]TABLO-1'!H4:H32873,"=Dağıtım-OG",'[7]TABLO-1'!J4:J32873,"=Güvenlik",'[7]TABLO-1'!K4:K32873,"=Bildirimli",'[7]TABLO-1'!I4:I32873,"=Uzun",'[7]TABLO-1'!C4:C32873,"=TEKİRDAĞ")/P13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SUMIFS('[7]TABLO-1'!S4:S32873,'[7]TABLO-1'!H4:H32873,"=Dağıtım-OG",'[7]TABLO-1'!J4:J32873,"=Güvenlik",'[7]TABLO-1'!K4:K32873,"=Bildirimli",'[7]TABLO-1'!I4:I32873,"=Uzun",'[7]TABLO-1'!C4:C32873,"=TEKİRDAĞ")/P8</f>
        <v>0</v>
      </c>
      <c r="K48" s="10">
        <f>SUMIFS('[7]TABLO-1'!T4:T32873,'[7]TABLO-1'!H4:H32873,"=Dağıtım-OG",'[7]TABLO-1'!J4:J32873,"=Güvenlik",'[7]TABLO-1'!K4:K32873,"=bildirimli",'[7]TABLO-1'!I4:I32873,"=Uzun",'[7]TABLO-1'!C4:C32873,"=TEKİRDAĞ")/P14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İşletmecisi",'[7]TABLO-1'!K4:K32873,"=Bildirimli",'[7]TABLO-1'!I4:I32873,"=Uzun",'[7]TABLO-1'!C4:C32873,"=TEKİRDAĞ")/P6</f>
        <v>0</v>
      </c>
      <c r="E49" s="10">
        <f>SUMIFS('[7]TABLO-1'!P4:P32873,'[7]TABLO-1'!H4:H32873,"=Dağıtım-AG",'[7]TABLO-1'!J4:J32873,"=Şebeke İşletmecisi",'[7]TABLO-1'!K4:K32873,"=Bildirimli",'[7]TABLO-1'!I4:I32873,"=Uzun",'[7]TABLO-1'!C4:C32873,"=TEKİRDAĞ")/P12</f>
        <v>3.9420133752360439E-3</v>
      </c>
      <c r="F49" s="10">
        <f t="shared" si="15"/>
        <v>3.9136658511081104E-3</v>
      </c>
      <c r="G49" s="12">
        <f>SUMIFS('[7]TABLO-1'!Q4:Q32873,'[7]TABLO-1'!H4:H32873,"=Dağıtım-AG",'[7]TABLO-1'!J4:J32873,"=Şebeke İşletmecisi",'[7]TABLO-1'!K4:K32873,"=Bildirimli",'[7]TABLO-1'!I4:I32873,"=Uzun",'[7]TABLO-1'!C4:C32873,"=TEKİRDAĞ")/P7</f>
        <v>0</v>
      </c>
      <c r="H49" s="10">
        <f>SUMIFS('[7]TABLO-1'!R4:R32873,'[7]TABLO-1'!H4:H32873,"=Dağıtım-AG",'[7]TABLO-1'!J4:J32873,"=Şebeke İşletmecisi",'[7]TABLO-1'!K4:K32873,"=Bildirimli",'[7]TABLO-1'!I4:I32873,"=Uzun",'[7]TABLO-1'!C4:C32873,"=TEKİRDAĞ")/P13</f>
        <v>1.1327206668091472E-2</v>
      </c>
      <c r="I49" s="10">
        <f t="shared" si="16"/>
        <v>1.1270818632615778E-2</v>
      </c>
      <c r="J49" s="12">
        <f>SUMIFS('[7]TABLO-1'!S4:S32873,'[7]TABLO-1'!H4:H32873,"=Dağıtım-AG",'[7]TABLO-1'!J4:J32873,"=Şebeke İşletmecisi",'[7]TABLO-1'!K4:K32873,"=Bildirimli",'[7]TABLO-1'!I4:I32873,"=Uzun",'[7]TABLO-1'!C4:C32873,"=TEKİRDAĞ")/P8</f>
        <v>0</v>
      </c>
      <c r="K49" s="10">
        <f>SUMIFS('[7]TABLO-1'!T4:T32873,'[7]TABLO-1'!H4:H32873,"=Dağıtım-AG",'[7]TABLO-1'!J4:J32873,"=Şebeke İşletmecisi",'[7]TABLO-1'!K4:K32873,"=bildirimli",'[7]TABLO-1'!I4:I32873,"=Uzun",'[7]TABLO-1'!C4:C32873,"=TEKİRDAĞ")/P14</f>
        <v>9.6461583223294012E-3</v>
      </c>
      <c r="L49" s="10">
        <f t="shared" si="17"/>
        <v>9.4290089695908998E-3</v>
      </c>
      <c r="M49" s="11">
        <f t="shared" si="18"/>
        <v>5.2825773573332577E-3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SUMIFS('[7]TABLO-1'!O4:O32873,'[7]TABLO-1'!H4:H32873,"=Dağıtım-AG",'[7]TABLO-1'!J4:J32873,"=Güvenlik",'[7]TABLO-1'!K4:K32873,"=Bildirimli",'[7]TABLO-1'!I4:I32873,"=Uzun",'[7]TABLO-1'!C4:C32873,"=TEKİRDAĞ")/P6</f>
        <v>0</v>
      </c>
      <c r="E50" s="10">
        <f>SUMIFS('[7]TABLO-1'!P4:P32873,'[7]TABLO-1'!H4:H32873,"=Dağıtım-AG",'[7]TABLO-1'!J4:J32873,"=Güvenlik",'[7]TABLO-1'!K4:K32873,"=Bildirimli",'[7]TABLO-1'!I4:I32873,"=Uzun",'[7]TABLO-1'!C4:C32873,"=TEKİRDAĞ")/P12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SUMIFS('[7]TABLO-1'!Q4:Q32873,'[7]TABLO-1'!H4:H32873,"=Dağıtım-AG",'[7]TABLO-1'!J4:J32873,"=Güvenlik",'[7]TABLO-1'!K4:K32873,"=Bildirimli",'[7]TABLO-1'!I4:I32873,"=Uzun",'[7]TABLO-1'!C4:C32873,"=TEKİRDAĞ")/P7</f>
        <v>0</v>
      </c>
      <c r="H50" s="10">
        <f>SUMIFS('[7]TABLO-1'!R4:R32873,'[7]TABLO-1'!H4:H32873,"=Dağıtım-AG",'[7]TABLO-1'!J4:J32873,"=Güvenlik",'[7]TABLO-1'!K4:K32873,"=Bildirimli",'[7]TABLO-1'!I4:I32873,"=Uzun",'[7]TABLO-1'!C4:C32873,"=TEKİRDAĞ")/P13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SUMIFS('[7]TABLO-1'!S4:S32873,'[7]TABLO-1'!H4:H32873,"=Dağıtım-AG",'[7]TABLO-1'!J4:J32873,"=Güvenlik",'[7]TABLO-1'!K4:K32873,"=Bildirimli",'[7]TABLO-1'!I4:I32873,"=Uzun",'[7]TABLO-1'!C4:C32873,"=TEKİRDAĞ")/P8</f>
        <v>0</v>
      </c>
      <c r="K50" s="10">
        <f>SUMIFS('[7]TABLO-1'!T4:T32873,'[7]TABLO-1'!H4:H32873,"=Dağıtım-AG",'[7]TABLO-1'!J4:J32873,"=Güvenlik",'[7]TABLO-1'!K4:K32873,"=bildirimli",'[7]TABLO-1'!I4:I32873,"=Uzun",'[7]TABLO-1'!C4:C32873,"=TEKİRDAĞ")/P14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0.32117647058823529</v>
      </c>
      <c r="E51" s="10">
        <f t="shared" ref="E51:M51" si="19">SUM(E46:E50)</f>
        <v>0.17111030820306905</v>
      </c>
      <c r="F51" s="10">
        <f t="shared" si="19"/>
        <v>0.17218945323736137</v>
      </c>
      <c r="G51" s="10">
        <f t="shared" si="19"/>
        <v>0.90097087378640772</v>
      </c>
      <c r="H51" s="10">
        <f t="shared" si="19"/>
        <v>0.98712817424080512</v>
      </c>
      <c r="I51" s="10">
        <f t="shared" si="19"/>
        <v>0.98669927406648428</v>
      </c>
      <c r="J51" s="10">
        <f t="shared" si="19"/>
        <v>0.43926141885325559</v>
      </c>
      <c r="K51" s="10">
        <f t="shared" si="19"/>
        <v>0.65502114992950022</v>
      </c>
      <c r="L51" s="10">
        <f t="shared" si="19"/>
        <v>0.65016407788230146</v>
      </c>
      <c r="M51" s="10">
        <f t="shared" si="19"/>
        <v>0.31555090796831536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SUMIFS('[7]TABLO-1'!O1:O32873,'[7]TABLO-1'!H1:H32873,"=İletim",'[7]TABLO-1'!K1:K32873,"=Bildirimsiz",'[7]TABLO-1'!I1:I32873,"=Kısa",'[7]TABLO-1'!C1:C32873,"=TEKİRDAĞ")/P6</f>
        <v>0</v>
      </c>
      <c r="D56" s="10">
        <f>SUMIFS('[7]TABLO-1'!P1:P32873,'[7]TABLO-1'!H1:H32873,"=İletim",'[7]TABLO-1'!K1:K32873,"=Bildirimsiz",'[7]TABLO-1'!I1:I32873,"=Kısa",'[7]TABLO-1'!C1:C32873,"=TEKİRDAĞ")/P12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SUMIFS('[7]TABLO-1'!Q1:Q32873,'[7]TABLO-1'!H1:H32873,"=İletim",'[7]TABLO-1'!K1:K32873,"=Bildirimsiz",'[7]TABLO-1'!I1:I32873,"=Kısa",'[7]TABLO-1'!C1:C32873,"=TEKİRDAĞ")/P7</f>
        <v>0</v>
      </c>
      <c r="G56" s="10">
        <f>SUMIFS('[7]TABLO-1'!R1:R32873,'[7]TABLO-1'!H1:H32873,"=İletim",'[7]TABLO-1'!K1:K32873,"=Bildirimsiz",'[7]TABLO-1'!I1:I32873,"=Kısa",'[7]TABLO-1'!C1:C32873,"=TEKİRDAĞ")/P13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SUMIFS('[7]TABLO-1'!S1:S32873,'[7]TABLO-1'!H1:H32873,"=İletim",'[7]TABLO-1'!K1:K32873,"=Bildirimsiz",'[7]TABLO-1'!I1:I32873,"=Kısa",'[7]TABLO-1'!C1:C32873,"=TEKİRDAĞ")/P8</f>
        <v>0</v>
      </c>
      <c r="J56" s="10">
        <f>SUMIFS('[7]TABLO-1'!T1:T32873,'[7]TABLO-1'!H1:H32873,"=İletim",'[7]TABLO-1'!K1:K32873,"=Bildirimsiz",'[7]TABLO-1'!I1:I32873,"=Kısa",'[7]TABLO-1'!C1:C32873,"=TEKİRDAĞ")/P14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SUMIFS('[7]TABLO-1'!O4:O32873,'[7]TABLO-1'!H4:H32873,"=Dağıtım-OG",'[7]TABLO-1'!K4:K32873,"=Bildirimsiz",'[7]TABLO-1'!I4:I32873,"=Kısa",'[7]TABLO-1'!C4:C32873,"=TEKİRDAĞ")/P6</f>
        <v>5.4117647058823527E-2</v>
      </c>
      <c r="D57" s="10">
        <f>SUMIFS('[7]TABLO-1'!P4:P32873,'[7]TABLO-1'!H4:H32873,"=Dağıtım-OG",'[7]TABLO-1'!K4:K32873,"=Bildirimsiz",'[7]TABLO-1'!I4:I32873,"=Kısa",'[7]TABLO-1'!C4:C32873,"=TEKİRDAĞ")/P12</f>
        <v>1.259467308387132E-2</v>
      </c>
      <c r="E57" s="10">
        <f>IFERROR((((C57*$P$6)+(D57*$P$12))/$P$17),"0,00")</f>
        <v>1.2893270119085086E-2</v>
      </c>
      <c r="F57" s="10">
        <f>SUMIFS('[7]TABLO-1'!Q4:Q32873,'[7]TABLO-1'!H4:H32873,"=Dağıtım-OG",'[7]TABLO-1'!K4:K32873,"=Bildirimsiz",'[7]TABLO-1'!I4:I32873,"=Kısa",'[7]TABLO-1'!C4:C32873,"=TEKİRDAĞ")/P7</f>
        <v>0.10485436893203884</v>
      </c>
      <c r="G57" s="10">
        <f>SUMIFS('[7]TABLO-1'!R4:R32873,'[7]TABLO-1'!H4:H32873,"=Dağıtım-OG",'[7]TABLO-1'!K4:K32873,"=Bildirimsiz",'[7]TABLO-1'!I4:I32873,"=Kısa",'[7]TABLO-1'!C4:C32873,"=TEKİRDAĞ")/P13</f>
        <v>1.2706677806058015E-2</v>
      </c>
      <c r="H57" s="10">
        <f>IFERROR((((F57*$P$7)+(G57*$P$13))/$P$20),"0,00")</f>
        <v>1.3165398780122375E-2</v>
      </c>
      <c r="I57" s="10">
        <f>SUMIFS('[7]TABLO-1'!S4:S32873,'[7]TABLO-1'!H4:H32873,"=Dağıtım-OG",'[7]TABLO-1'!K4:K32873,"=Bildirimsiz",'[7]TABLO-1'!I4:I32873,"=Kısa",'[7]TABLO-1'!C4:C32873,"=TEKİRDAĞ")/P8</f>
        <v>0.12244897959183673</v>
      </c>
      <c r="J57" s="10">
        <f>SUMIFS('[7]TABLO-1'!T4:T32873,'[7]TABLO-1'!H4:H32873,"=Dağıtım-OG",'[7]TABLO-1'!K4:K32873,"=Bildirimsiz",'[7]TABLO-1'!I4:I32873,"=Kısa",'[7]TABLO-1'!C4:C32873,"=TEKİRDAĞ")/P14</f>
        <v>0.21190215080235447</v>
      </c>
      <c r="K57" s="10">
        <f>IFERROR((((I57*$P$8)+(J57*$P$14))/$P$23),"0,00")</f>
        <v>0.20988842704003499</v>
      </c>
      <c r="L57" s="11">
        <f>IFERROR((((E57*$P$17)+(H57*$P$20)+(K57*$P$23))/$P$26),"0,00")</f>
        <v>2.5096971097141329E-2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SUMIFS('[7]TABLO-1'!O4:O32873,'[7]TABLO-1'!H4:H32873,"=Dağıtım-AG",'[7]TABLO-1'!K4:K32873,"=Bildirimsiz",'[7]TABLO-1'!I4:I32873,"=Kısa",'[7]TABLO-1'!C4:C32873,"=TEKİRDAĞ")/P6</f>
        <v>0</v>
      </c>
      <c r="D58" s="10">
        <f>SUMIFS('[7]TABLO-1'!P4:P32873,'[7]TABLO-1'!H4:H32873,"=Dağıtım-AG",'[7]TABLO-1'!K4:K32873,"=Bildirimsiz",'[7]TABLO-1'!I4:I32873,"=Kısa",'[7]TABLO-1'!C4:C32873,"=TEKİRDAĞ")/P12</f>
        <v>1.2475373068191889E-3</v>
      </c>
      <c r="E58" s="10">
        <f>IFERROR((((C58*$P$6)+(D58*$P$12))/$P$17),"0,00")</f>
        <v>1.2385661059278587E-3</v>
      </c>
      <c r="F58" s="10">
        <f>SUMIFS('[7]TABLO-1'!Q4:Q32873,'[7]TABLO-1'!H4:H32873,"=Dağıtım-AG",'[7]TABLO-1'!K4:K32873,"=Bildirimsiz",'[7]TABLO-1'!I4:I32873,"=Kısa",'[7]TABLO-1'!C4:C32873,"=TEKİRDAĞ")/P7</f>
        <v>0</v>
      </c>
      <c r="G58" s="10">
        <f>SUMIFS('[7]TABLO-1'!R4:R32873,'[7]TABLO-1'!H4:H32873,"=Dağıtım-AG",'[7]TABLO-1'!K4:K32873,"=Bildirimsiz",'[7]TABLO-1'!I4:I32873,"=Kısa",'[7]TABLO-1'!C4:C32873,"=TEKİRDAĞ")/P13</f>
        <v>2.4772192970525949E-3</v>
      </c>
      <c r="H58" s="10">
        <f>IFERROR((((F58*$P$7)+(G58*$P$13))/$P$20),"0,00")</f>
        <v>2.4648874368070526E-3</v>
      </c>
      <c r="I58" s="10">
        <f>SUMIFS('[7]TABLO-1'!S4:S32873,'[7]TABLO-1'!H4:H32873,"=Dağıtım-AG",'[7]TABLO-1'!K4:K32873,"=Bildirimsiz",'[7]TABLO-1'!I4:I32873,"=Kısa",'[7]TABLO-1'!C4:C32873,"=TEKİRDAĞ")/P8</f>
        <v>0</v>
      </c>
      <c r="J58" s="10">
        <f>SUMIFS('[7]TABLO-1'!T4:T32873,'[7]TABLO-1'!H4:H32873,"=Dağıtım-AG",'[7]TABLO-1'!K4:K32873,"=Bildirimsiz",'[7]TABLO-1'!I4:I32873,"=Kısa",'[7]TABLO-1'!C4:C32873,"=TEKİRDAĞ")/P14</f>
        <v>2.0814216333564601E-3</v>
      </c>
      <c r="K58" s="10">
        <f>IFERROR((((I58*$P$8)+(J58*$P$14))/$P$23),"0,00")</f>
        <v>2.0345657405381754E-3</v>
      </c>
      <c r="L58" s="11">
        <f>IFERROR((((E58*$P$17)+(H58*$P$20)+(K58*$P$23))/$P$26),"0,00")</f>
        <v>1.4591262265779843E-3</v>
      </c>
    </row>
    <row r="59" spans="2:13" ht="15" customHeight="1" thickBot="1" x14ac:dyDescent="0.3">
      <c r="B59" s="30" t="s">
        <v>20</v>
      </c>
      <c r="C59" s="10">
        <f t="shared" ref="C59:L59" si="20">SUM(C56:C58)</f>
        <v>5.4117647058823527E-2</v>
      </c>
      <c r="D59" s="10">
        <f t="shared" si="20"/>
        <v>1.3842210390690508E-2</v>
      </c>
      <c r="E59" s="10">
        <f t="shared" si="20"/>
        <v>1.4131836225012944E-2</v>
      </c>
      <c r="F59" s="10">
        <f t="shared" si="20"/>
        <v>0.10485436893203884</v>
      </c>
      <c r="G59" s="10">
        <f t="shared" si="20"/>
        <v>1.518389710311061E-2</v>
      </c>
      <c r="H59" s="10">
        <f t="shared" si="20"/>
        <v>1.5630286216929426E-2</v>
      </c>
      <c r="I59" s="10">
        <f t="shared" si="20"/>
        <v>0.12244897959183673</v>
      </c>
      <c r="J59" s="10">
        <f t="shared" si="20"/>
        <v>0.21398357243571092</v>
      </c>
      <c r="K59" s="10">
        <f t="shared" si="20"/>
        <v>0.21192299278057317</v>
      </c>
      <c r="L59" s="10">
        <f t="shared" si="20"/>
        <v>2.6556097323719313E-2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4250</v>
      </c>
      <c r="D65" s="27">
        <f>P12</f>
        <v>586756</v>
      </c>
      <c r="E65" s="27">
        <f>C65+D65</f>
        <v>591006</v>
      </c>
      <c r="F65" s="17">
        <f>P7</f>
        <v>515</v>
      </c>
      <c r="G65" s="27">
        <f>P13</f>
        <v>102938</v>
      </c>
      <c r="H65" s="17">
        <f>SUM(F65:G65)</f>
        <v>103453</v>
      </c>
      <c r="I65" s="17">
        <f>P8</f>
        <v>1029</v>
      </c>
      <c r="J65" s="27">
        <f>P14</f>
        <v>44681</v>
      </c>
      <c r="K65" s="17">
        <f>SUM(I65:J65)</f>
        <v>45710</v>
      </c>
      <c r="L65" s="17">
        <f>H65+E65+K65</f>
        <v>740169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B70:I71"/>
    <mergeCell ref="B51:C51"/>
    <mergeCell ref="C54:E54"/>
    <mergeCell ref="F54:H54"/>
    <mergeCell ref="I54:K54"/>
    <mergeCell ref="B68:I68"/>
    <mergeCell ref="B69:I69"/>
    <mergeCell ref="B41:C41"/>
    <mergeCell ref="B44:C44"/>
    <mergeCell ref="D44:F44"/>
    <mergeCell ref="G44:I44"/>
    <mergeCell ref="J44:L44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</mergeCell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İşletmecisi",'[7]TABLO-1'!K4:K32873,"=Bildirimsiz",'[7]TABLO-1'!I4:I32873,"=Uzun",'[7]TABLO-1'!D4:D32873,"=VİZE")/P6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İşletmecisi",'[7]TABLO-1'!K4:K32873,"=Bildirimsiz",'[7]TABLO-1'!I4:I32873,"=Uzun",'[7]TABLO-1'!D4:D32873,"=VİZE")/P12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İşletmecisi",'[7]TABLO-1'!K4:K32873,"=Bildirimsiz",'[7]TABLO-1'!I4:I32873,"=Uzun",'[7]TABLO-1'!D4:D32873,"=VİZE")/P7</f>
        <v>0.9460093894592998</v>
      </c>
      <c r="H6" s="10">
        <f>SUMIFS('[7]TABLO-1'!X4:X32873,'[7]TABLO-1'!H4:H32873,"=İletim",'[7]TABLO-1'!J4:J32873,"=Şebeke İşletmecisi",'[7]TABLO-1'!K4:K32873,"=Bildirimsiz",'[7]TABLO-1'!I4:I32873,"=Uzun",'[7]TABLO-1'!D4:D32873,"=VİZE")/P13</f>
        <v>0</v>
      </c>
      <c r="I6" s="10">
        <f>IFERROR((((G6*$P$7)+(H6*$P$13))/$P$20),"0,00")</f>
        <v>4.5552164565351161E-3</v>
      </c>
      <c r="J6" s="10">
        <f>SUMIFS('[7]TABLO-1'!Y4:Y32873,'[7]TABLO-1'!H4:H32873,"=İletim",'[7]TABLO-1'!J4:J32873,"=Şebeke İşletmecisi",'[7]TABLO-1'!K4:K32873,"=Bildirimsiz",'[7]TABLO-1'!I4:I32873,"=Uzun",'[7]TABLO-1'!D4:D32873,"=VİZE")/P8</f>
        <v>2.2203856744333978</v>
      </c>
      <c r="K6" s="10">
        <f>SUMIFS('[7]TABLO-1'!Z4:Z32873,'[7]TABLO-1'!H4:H32873,"=İletim",'[7]TABLO-1'!J4:J32873,"=Şebeke İşletmecisi",'[7]TABLO-1'!K4:K32873,"=Bildirimsiz",'[7]TABLO-1'!I4:I32873,"=Uzun",'[7]TABLO-1'!D4:D32873,"=VİZE")/P14</f>
        <v>1.6442046030114221</v>
      </c>
      <c r="L6" s="10">
        <f>IFERROR((((J6*$P$8)+(K6*$P$14))/$P$23),"0,00")</f>
        <v>1.6522906514505382</v>
      </c>
      <c r="M6" s="11">
        <f>IFERROR((((F6*$P$17)+(I6*$P$20)+(L6*$P$23))/$P$26),"0,00")</f>
        <v>0.61253976391741127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Sebep",'[7]TABLO-1'!K4:K32873,"=Bildirimsiz",'[7]TABLO-1'!I4:I32873,"=Uzun",'[7]TABLO-1'!D4:D32873,"=VİZE")/P6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Sebep",'[7]TABLO-1'!K4:K32873,"=Bildirimsiz",'[7]TABLO-1'!I4:I32873,"=Uzun",'[7]TABLO-1'!D4:D32873,"=VİZE")/P12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Sebep",'[7]TABLO-1'!K4:K32873,"=Bildirimsiz",'[7]TABLO-1'!I4:I32873,"=Uzun",'[7]TABLO-1'!D4:D32873,"=VİZE")/P7</f>
        <v>0</v>
      </c>
      <c r="H7" s="10">
        <f>SUMIFS('[7]TABLO-1'!X4:X32873,'[7]TABLO-1'!H4:H32873,"=İletim",'[7]TABLO-1'!J4:J32873,"=Mücbir Sebep",'[7]TABLO-1'!K4:K32873,"=Bildirimsiz",'[7]TABLO-1'!I4:I32873,"=Uzun",'[7]TABLO-1'!D4:D32873,"=VİZE")/P13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Sebep",'[7]TABLO-1'!K4:K32873,"=Bildirimsiz",'[7]TABLO-1'!I4:I32873,"=Uzun",'[7]TABLO-1'!D4:D32873,"=VİZE")/P8</f>
        <v>0</v>
      </c>
      <c r="K7" s="10">
        <f>SUMIFS('[7]TABLO-1'!Z4:Z32873,'[7]TABLO-1'!H4:H32873,"=İletim",'[7]TABLO-1'!J4:J32873,"=Mücbir Sebep",'[7]TABLO-1'!K4:K32873,"=Bildirimsiz",'[7]TABLO-1'!I4:I32873,"=Uzun",'[7]TABLO-1'!D4:D32873,"=VİZE")/P14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71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İşletmecisi",'[7]TABLO-1'!K4:K32873,"=Bildirimsiz",'[7]TABLO-1'!I4:I32873,"=Uzun",'[7]TABLO-1'!D4:D32873,"=VİZE")/P6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İşletmecisi",'[7]TABLO-1'!K4:K32873,"=Bildirimsiz",'[7]TABLO-1'!I4:I32873,"=Uzun",'[7]TABLO-1'!D4:D32873,"=VİZE")/P12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İşletmecisi",'[7]TABLO-1'!K4:K32873,"=Bildirimsiz",'[7]TABLO-1'!I4:I32873,"=Uzun",'[7]TABLO-1'!D4:D32873,"=VİZE")/P7</f>
        <v>41.717370892022281</v>
      </c>
      <c r="H8" s="10">
        <f>SUMIFS('[7]TABLO-1'!X4:X32873,'[7]TABLO-1'!H4:H32873,"=Dağıtım-OG",'[7]TABLO-1'!J4:J32873,"=Şebeke İşletmecisi",'[7]TABLO-1'!K4:K32873,"=Bildirimsiz",'[7]TABLO-1'!I4:I32873,"=Uzun",'[7]TABLO-1'!D4:D32873,"=VİZE")/P13</f>
        <v>10.927221616925415</v>
      </c>
      <c r="I8" s="10">
        <f t="shared" si="1"/>
        <v>11.075482084781086</v>
      </c>
      <c r="J8" s="10">
        <f>SUMIFS('[7]TABLO-1'!Y4:Y32873,'[7]TABLO-1'!H4:H32873,"=Dağıtım-OG",'[7]TABLO-1'!J4:J32873,"=Şebeke İşletmecisi",'[7]TABLO-1'!K4:K32873,"=Bildirimsiz",'[7]TABLO-1'!I4:I32873,"=Uzun",'[7]TABLO-1'!D4:D32873,"=VİZE")/P8</f>
        <v>149.50798898213736</v>
      </c>
      <c r="K8" s="10">
        <f>SUMIFS('[7]TABLO-1'!Z4:Z32873,'[7]TABLO-1'!H4:H32873,"=Dağıtım-OG",'[7]TABLO-1'!J4:J32873,"=Şebeke İşletmecisi",'[7]TABLO-1'!K4:K32873,"=Bildirimsiz",'[7]TABLO-1'!I4:I32873,"=Uzun",'[7]TABLO-1'!D4:D32873,"=VİZE")/P14</f>
        <v>137.20548955170463</v>
      </c>
      <c r="L8" s="10">
        <f t="shared" si="2"/>
        <v>137.37814119066104</v>
      </c>
      <c r="M8" s="11">
        <f t="shared" si="3"/>
        <v>57.678876907004607</v>
      </c>
      <c r="O8" s="20" t="s">
        <v>36</v>
      </c>
      <c r="P8" s="53">
        <v>121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SUMIFS('[7]TABLO-1'!U4:U32873,'[7]TABLO-1'!H4:H32873,"=Dağıtım-OG",'[7]TABLO-1'!J4:J32873,"=Dışsal",'[7]TABLO-1'!K4:K32873,"=Bildirimsiz",'[7]TABLO-1'!I4:I32873,"=Uzun",'[7]TABLO-1'!D4:D32873,"=VİZE")/P6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SUMIFS('[7]TABLO-1'!V4:V32873,'[7]TABLO-1'!H4:H32873,"=Dağıtım-OG",'[7]TABLO-1'!J4:J32873,"=Dışsal",'[7]TABLO-1'!K4:K32873,"=Bildirimsiz",'[7]TABLO-1'!I4:I32873,"=Uzun",'[7]TABLO-1'!D4:D32873,"=VİZE")/P12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SUMIFS('[7]TABLO-1'!W4:W32873,'[7]TABLO-1'!H4:H32873,"=Dağıtım-OG",'[7]TABLO-1'!J4:J32873,"=Dışsal",'[7]TABLO-1'!K4:K32873,"=Bildirimsiz",'[7]TABLO-1'!I4:I32873,"=Uzun",'[7]TABLO-1'!D4:D32873,"=VİZE")/P7</f>
        <v>1.7927230046701317</v>
      </c>
      <c r="H9" s="10">
        <f>SUMIFS('[7]TABLO-1'!X4:X32873,'[7]TABLO-1'!H4:H32873,"=Dağıtım-OG",'[7]TABLO-1'!J4:J32873,"=Dışsal",'[7]TABLO-1'!K4:K32873,"=Bildirimsiz",'[7]TABLO-1'!I4:I32873,"=Uzun",'[7]TABLO-1'!D4:D32873,"=VİZE")/P13</f>
        <v>0</v>
      </c>
      <c r="I9" s="10">
        <f t="shared" si="1"/>
        <v>8.6323047359497685E-3</v>
      </c>
      <c r="J9" s="10">
        <f>SUMIFS('[7]TABLO-1'!Y4:Y32873,'[7]TABLO-1'!H4:H32873,"=Dağıtım-OG",'[7]TABLO-1'!J4:J32873,"=Dışsal",'[7]TABLO-1'!K4:K32873,"=Bildirimsiz",'[7]TABLO-1'!I4:I32873,"=Uzun",'[7]TABLO-1'!D4:D32873,"=VİZE")/P8</f>
        <v>2.1038567492823033</v>
      </c>
      <c r="K9" s="10">
        <f>SUMIFS('[7]TABLO-1'!Z4:Z32873,'[7]TABLO-1'!H4:H32873,"=Dağıtım-OG",'[7]TABLO-1'!J4:J32873,"=Dışsal",'[7]TABLO-1'!K4:K32873,"=Bildirimsiz",'[7]TABLO-1'!I4:I32873,"=Uzun",'[7]TABLO-1'!D4:D32873,"=VİZE")/P14</f>
        <v>0</v>
      </c>
      <c r="L9" s="10">
        <f t="shared" si="2"/>
        <v>2.9525245495611075E-2</v>
      </c>
      <c r="M9" s="11">
        <f t="shared" si="3"/>
        <v>1.6341421662803869E-2</v>
      </c>
      <c r="O9" s="20" t="s">
        <v>17</v>
      </c>
      <c r="P9" s="53">
        <f>P6+P7+P8</f>
        <v>192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Sebep",'[7]TABLO-1'!K4:K32873,"=Bildirimsiz",'[7]TABLO-1'!I4:I32873,"=Uzun",'[7]TABLO-1'!D4:D32873,"=VİZE")/P6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Sebep",'[7]TABLO-1'!K4:K32873,"=Bildirimsiz",'[7]TABLO-1'!I4:I32873,"=Uzun",'[7]TABLO-1'!D4:D32873,"=VİZE")/P12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Sebep",'[7]TABLO-1'!K4:K32873,"=Bildirimsiz",'[7]TABLO-1'!I4:I32873,"=Uzun",'[7]TABLO-1'!D4:D32873,"=VİZE")/P7</f>
        <v>0</v>
      </c>
      <c r="H10" s="10">
        <f>SUMIFS('[7]TABLO-1'!X4:X32873,'[7]TABLO-1'!H4:H32873,"=Dağıtım-OG",'[7]TABLO-1'!J4:J32873,"=Mücbir Sebep",'[7]TABLO-1'!K4:K32873,"=Bildirimsiz",'[7]TABLO-1'!I4:I32873,"=Uzun",'[7]TABLO-1'!D4:D32873,"=VİZE")/P13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Sebep",'[7]TABLO-1'!K4:K32873,"=Bildirimsiz",'[7]TABLO-1'!I4:I32873,"=Uzun",'[7]TABLO-1'!D4:D32873,"=VİZE")/P8</f>
        <v>0</v>
      </c>
      <c r="K10" s="10">
        <f>SUMIFS('[7]TABLO-1'!Z4:Z32873,'[7]TABLO-1'!H4:H32873,"=Dağıtım-OG",'[7]TABLO-1'!J4:J32873,"=Mücbir Sebep",'[7]TABLO-1'!K4:K32873,"=Bildirimsiz",'[7]TABLO-1'!I4:I32873,"=Uzun",'[7]TABLO-1'!D4:D32873,"=VİZE")/P14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SUMIFS('[7]TABLO-1'!U4:U32873,'[7]TABLO-1'!H4:H32873,"=Dağıtım-OG",'[7]TABLO-1'!J4:J32873,"=Güvenlik",'[7]TABLO-1'!K4:K32873,"=Bildirimsiz",'[7]TABLO-1'!I4:I32873,"=Uzun",'[7]TABLO-1'!D4:D32873,"=VİZE")/P6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SUMIFS('[7]TABLO-1'!V4:V32873,'[7]TABLO-1'!H4:H32873,"=Dağıtım-OG",'[7]TABLO-1'!J4:J32873,"=Güvenlik",'[7]TABLO-1'!K4:K32873,"=Bildirimsiz",'[7]TABLO-1'!I4:I32873,"=Uzun",'[7]TABLO-1'!D4:D32873,"=VİZE")/P12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SUMIFS('[7]TABLO-1'!W4:W32873,'[7]TABLO-1'!H4:H32873,"=Dağıtım-OG",'[7]TABLO-1'!J4:J32873,"=Güvenlik",'[7]TABLO-1'!K4:K32873,"=Bildirimsiz",'[7]TABLO-1'!I4:I32873,"=Uzun",'[7]TABLO-1'!D4:D32873,"=VİZE")/P7</f>
        <v>0</v>
      </c>
      <c r="H11" s="10">
        <f>SUMIFS('[7]TABLO-1'!X4:X32873,'[7]TABLO-1'!H4:H32873,"=Dağıtım-OG",'[7]TABLO-1'!J4:J32873,"=Güvenlik",'[7]TABLO-1'!K4:K32873,"=Bildirimsiz",'[7]TABLO-1'!I4:I32873,"=Uzun",'[7]TABLO-1'!D4:D32873,"=VİZE")/P13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SUMIFS('[7]TABLO-1'!Y4:Y32873,'[7]TABLO-1'!H4:H32873,"=Dağıtım-OG",'[7]TABLO-1'!J4:J32873,"=Güvenlik",'[7]TABLO-1'!K4:K32873,"=Bildirimsiz",'[7]TABLO-1'!I4:I32873,"=Uzun",'[7]TABLO-1'!D4:D32873,"=VİZE")/P8</f>
        <v>0</v>
      </c>
      <c r="K11" s="10">
        <f>SUMIFS('[7]TABLO-1'!Z4:Z32873,'[7]TABLO-1'!H4:H32873,"=Dağıtım-OG",'[7]TABLO-1'!J4:J32873,"=Güvenlik",'[7]TABLO-1'!K4:K32873,"=Bildirimsiz",'[7]TABLO-1'!I4:I32873,"=Uzun",'[7]TABLO-1'!D4:D32873,"=VİZE")/P14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İşletmecisi",'[7]TABLO-1'!K4:K32873,"=Bildirimsiz",'[7]TABLO-1'!I4:I32873,"=Uzun",'[7]TABLO-1'!D4:D32873,"=VİZE")/P6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işletmecisi",'[7]TABLO-1'!K4:K32873,"=Bildirimsiz",'[7]TABLO-1'!I4:I32873,"=Uzun",'[7]TABLO-1'!D4:D32873,"=VİZE")/P12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İşletmecisi",'[7]TABLO-1'!K4:K32873,"=Bildirimsiz",'[7]TABLO-1'!I4:I32873,"=Uzun",'[7]TABLO-1'!D4:D32873,"=VİZE")/P7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İşletmecisi",'[7]TABLO-1'!K4:K32873,"=Bildirimsiz",'[7]TABLO-1'!I4:I32873,"=Uzun",'[7]TABLO-1'!D4:D32873,"=VİZE")/P13</f>
        <v>5.3922538729438649</v>
      </c>
      <c r="I12" s="10">
        <f t="shared" si="1"/>
        <v>5.3662891374417274</v>
      </c>
      <c r="J12" s="12">
        <f>SUMIFS('[7]TABLO-1'!Y4:Y32873,'[7]TABLO-1'!H4:H32873,"=Dağıtım-AG",'[7]TABLO-1'!J4:J32873,"=Şebeke İşletmecisi",'[7]TABLO-1'!K4:K32873,"=Bildirimsiz",'[7]TABLO-1'!I4:I32873,"=Uzun",'[7]TABLO-1'!D4:D32873,"=VİZE")/P8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İşletmecisi",'[7]TABLO-1'!K4:K32873,"=Bildirimsiz",'[7]TABLO-1'!I4:I32873,"=Uzun",'[7]TABLO-1'!D4:D32873,"=VİZE")/P14</f>
        <v>18.64741991134678</v>
      </c>
      <c r="L12" s="10">
        <f t="shared" si="2"/>
        <v>18.385724503173162</v>
      </c>
      <c r="M12" s="11">
        <f t="shared" si="3"/>
        <v>10.170225103690557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SUMIFS('[7]TABLO-1'!U4:U32873,'[7]TABLO-1'!H4:H32873,"=Dağıtım-AG",'[7]TABLO-1'!J4:J32873,"=Dışsal",'[7]TABLO-1'!K4:K32873,"=Bildirimsiz",'[7]TABLO-1'!I4:I32873,"=Uzun",'[7]TABLO-1'!D4:D32873,"=VİZE")/P6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SUMIFS('[7]TABLO-1'!V4:V32873,'[7]TABLO-1'!H4:H32873,"=Dağıtım-AG",'[7]TABLO-1'!J4:J32873,"=Dışsal",'[7]TABLO-1'!K4:K32873,"=Bildirimsiz",'[7]TABLO-1'!I4:I32873,"=Uzun",'[7]TABLO-1'!D4:D32873,"=VİZE")/P12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SUMIFS('[7]TABLO-1'!W4:W32873,'[7]TABLO-1'!H4:H32873,"=Dağıtım-AG",'[7]TABLO-1'!J4:J32873,"=Dışsal",'[7]TABLO-1'!K4:K32873,"=Bildirimsiz",'[7]TABLO-1'!I4:I32873,"=Uzun",'[7]TABLO-1'!D4:D32873,"=VİZE")/P7</f>
        <v>0</v>
      </c>
      <c r="H13" s="10">
        <f>SUMIFS('[7]TABLO-1'!X4:X32873,'[7]TABLO-1'!H4:H32873,"=Dağıtım-AG",'[7]TABLO-1'!J4:J32873,"=Dışsal",'[7]TABLO-1'!K4:K32873,"=Bildirimsiz",'[7]TABLO-1'!I4:I32873,"=Uzun",'[7]TABLO-1'!D4:D32873,"=VİZE")/P13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SUMIFS('[7]TABLO-1'!Y4:Y32873,'[7]TABLO-1'!H4:H32873,"=Dağıtım-AG",'[7]TABLO-1'!J4:J32873,"=Dışsal",'[7]TABLO-1'!K4:K32873,"=Bildirimsiz",'[7]TABLO-1'!I4:I32873,"=Uzun",'[7]TABLO-1'!D4:D32873,"=VİZE")/P8</f>
        <v>0</v>
      </c>
      <c r="K13" s="10">
        <f>SUMIFS('[7]TABLO-1'!Z4:Z32873,'[7]TABLO-1'!H4:H32873,"=Dağıtım-AG",'[7]TABLO-1'!J4:J32873,"=Dışsal",'[7]TABLO-1'!K4:K32873,"=Bildirimsiz",'[7]TABLO-1'!I4:I32873,"=Uzun",'[7]TABLO-1'!D4:D32873,"=VİZE")/P14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14674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Sebep",'[7]TABLO-1'!K4:K32873,"=Bildirimsiz",'[7]TABLO-1'!I4:I32873,"=Uzun",'[7]TABLO-1'!D4:D32873,"=VİZE")/P6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Sebep",'[7]TABLO-1'!K4:K32873,"=Bildirimsiz",'[7]TABLO-1'!I4:I32873,"=Uzun",'[7]TABLO-1'!D4:D32873,"=VİZE")/P12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Sebep",'[7]TABLO-1'!K4:K32873,"=Bildirimsiz",'[7]TABLO-1'!I4:I32873,"=Uzun",'[7]TABLO-1'!D4:D32873,"=VİZE")/P7</f>
        <v>0</v>
      </c>
      <c r="H14" s="10">
        <f>SUMIFS('[7]TABLO-1'!X4:X32873,'[7]TABLO-1'!H4:H32873,"=Dağıtım-AG",'[7]TABLO-1'!J4:J32873,"=Mücbir Sebep",'[7]TABLO-1'!K4:K32873,"=Bildirimsiz",'[7]TABLO-1'!I4:I32873,"=Uzun",'[7]TABLO-1'!D4:D32873,"=VİZE")/P13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Sebep",'[7]TABLO-1'!K4:K32873,"=Bildirimsiz",'[7]TABLO-1'!I4:I32873,"=Uzun",'[7]TABLO-1'!D4:D32873,"=VİZE")/P8</f>
        <v>0</v>
      </c>
      <c r="K14" s="10">
        <f>SUMIFS('[7]TABLO-1'!Z4:Z32873,'[7]TABLO-1'!H4:H32873,"=Dağıtım-AG",'[7]TABLO-1'!J4:J32873,"=Mücbir Sebep",'[7]TABLO-1'!K4:K32873,"=Bildirimsiz",'[7]TABLO-1'!I4:I32873,"=Uzun",'[7]TABLO-1'!D4:D32873,"=VİZE")/P14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8501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SUMIFS('[7]TABLO-1'!U4:U32873,'[7]TABLO-1'!H4:H32873,"=Dağıtım-AG",'[7]TABLO-1'!J4:J32873,"=Güvenlik",'[7]TABLO-1'!K4:K32873,"=Bildirimsiz",'[7]TABLO-1'!I4:I32873,"=Uzun",'[7]TABLO-1'!D4:D32873,"=VİZE")/P6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SUMIFS('[7]TABLO-1'!V4:V32873,'[7]TABLO-1'!H4:H32873,"=Dağıtım-AG",'[7]TABLO-1'!J4:J32873,"=Güvenlik",'[7]TABLO-1'!K4:K32873,"=Bildirimsiz",'[7]TABLO-1'!I4:I32873,"=Uzun",'[7]TABLO-1'!D4:D32873,"=VİZE")/P12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SUMIFS('[7]TABLO-1'!W4:W32873,'[7]TABLO-1'!H4:H32873,"=Dağıtım-AG",'[7]TABLO-1'!J4:J32873,"=Güvenlik",'[7]TABLO-1'!K4:K32873,"=Bildirimsiz",'[7]TABLO-1'!I4:I32873,"=Uzun",'[7]TABLO-1'!D4:D32873,"=VİZE")/P7</f>
        <v>0</v>
      </c>
      <c r="H15" s="10">
        <f>SUMIFS('[7]TABLO-1'!X4:X32873,'[7]TABLO-1'!H4:H32873,"=Dağıtım-AG",'[7]TABLO-1'!J4:J32873,"=Güvenlik",'[7]TABLO-1'!K4:K32873,"=Bildirimsiz",'[7]TABLO-1'!I4:I32873,"=Uzun",'[7]TABLO-1'!D4:D32873,"=VİZE")/P13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SUMIFS('[7]TABLO-1'!Y4:Y32873,'[7]TABLO-1'!H4:H32873,"=Dağıtım-AG",'[7]TABLO-1'!J4:J32873,"=Güvenlik",'[7]TABLO-1'!K4:K32873,"=Bildirimsiz",'[7]TABLO-1'!I4:I32873,"=Uzun",'[7]TABLO-1'!D4:D32873,"=VİZE")/P8</f>
        <v>0</v>
      </c>
      <c r="K15" s="10">
        <f>SUMIFS('[7]TABLO-1'!Z4:Z32873,'[7]TABLO-1'!H4:H32873,"=Dağıtım-AG",'[7]TABLO-1'!J4:J32873,"=Güvenlik",'[7]TABLO-1'!K4:K32873,"=Bildirimsiz",'[7]TABLO-1'!I4:I32873,"=Uzun",'[7]TABLO-1'!D4:D32873,"=VİZE")/P14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23175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44.456103286151709</v>
      </c>
      <c r="H16" s="10">
        <f t="shared" si="4"/>
        <v>16.31947548986928</v>
      </c>
      <c r="I16" s="10">
        <f t="shared" si="4"/>
        <v>16.454958743415297</v>
      </c>
      <c r="J16" s="10">
        <f>SUM(J6:J15)</f>
        <v>153.83223140585307</v>
      </c>
      <c r="K16" s="10">
        <f>SUM(K6:K15)</f>
        <v>157.49711406606284</v>
      </c>
      <c r="L16" s="10">
        <f>SUM(L6:L15)</f>
        <v>157.44568159078034</v>
      </c>
      <c r="M16" s="11">
        <f t="shared" si="4"/>
        <v>68.477983196275375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14745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İşletmecisi",'[7]TABLO-1'!K4:K32873,"=Bildirimli",'[7]TABLO-1'!I4:I32873,"=Uzun",'[7]TABLO-1'!D4:D32873,"=VİZE")/P6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İşletmecisi",'[7]TABLO-1'!K4:K32873,"=Bildirimli",'[7]TABLO-1'!I4:I32873,"=Uzun",'[7]TABLO-1'!D4:D32873,"=VİZE")/P12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İşletmecisi",'[7]TABLO-1'!K4:K32873,"=Bildirimli",'[7]TABLO-1'!I4:I32873,"=Uzun",'[7]TABLO-1'!D4:D32873,"=VİZE")/P7</f>
        <v>169.19460093635331</v>
      </c>
      <c r="H21" s="10">
        <f>SUMIFS('[7]TABLO-1'!X4:X32873,'[7]TABLO-1'!H4:H32873,"=İletim",'[7]TABLO-1'!J4:J32873,"=Şebeke İşletmecisi",'[7]TABLO-1'!K4:K32873,"=Bildirimli",'[7]TABLO-1'!I4:I32873,"=Uzun",'[7]TABLO-1'!D4:D32873,"=VİZE")/P13</f>
        <v>42.879651082895165</v>
      </c>
      <c r="I21" s="10">
        <f>IFERROR((((G21*$P$7)+(H21*$P$13))/$P$20),"0,00")</f>
        <v>43.487881767167494</v>
      </c>
      <c r="J21" s="10">
        <f>SUMIFS('[7]TABLO-1'!Y4:Y32873,'[7]TABLO-1'!H4:H32873,"=İletim",'[7]TABLO-1'!J4:J32873,"=Şebeke İşletmecisi",'[7]TABLO-1'!K4:K32873,"=Bildirimli",'[7]TABLO-1'!I4:I32873,"=Uzun",'[7]TABLO-1'!D4:D32873,"=VİZE")/P8</f>
        <v>255.20426996845043</v>
      </c>
      <c r="K21" s="10">
        <f>SUMIFS('[7]TABLO-1'!Z4:Z32873,'[7]TABLO-1'!H4:H32873,"=İletim",'[7]TABLO-1'!J4:J32873,"=Şebeke İşletmecisi",'[7]TABLO-1'!K4:K32873,"=Bildirimli",'[7]TABLO-1'!I4:I32873,"=Uzun",'[7]TABLO-1'!D4:D32873,"=VİZE")/P14</f>
        <v>189.32746735381184</v>
      </c>
      <c r="L21" s="10">
        <f>IFERROR((((J21*$P$8)+(K21*$P$14))/$P$23),"0,00")</f>
        <v>190.25197363035687</v>
      </c>
      <c r="M21" s="11">
        <f>IFERROR((((F21*$P$17)+(I21*$P$20)+(L21*$P$23))/$P$26),"0,00")</f>
        <v>97.641174874730254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İşletmecisi",'[7]TABLO-1'!K4:K32873,"=Bildirimli",'[7]TABLO-1'!I4:I32873,"=Uzun",'[7]TABLO-1'!D4:D32873,"=VİZE")/P6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İşletmecisi",'[7]TABLO-1'!K4:K32873,"=Bildirimli",'[7]TABLO-1'!I4:I32873,"=Uzun",'[7]TABLO-1'!D4:D32873,"=VİZE")/P12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İşletmecisi",'[7]TABLO-1'!K4:K32873,"=Bildirimli",'[7]TABLO-1'!I4:I32873,"=Uzun",'[7]TABLO-1'!D4:D32873,"=VİZE")/P7</f>
        <v>0.81995305162526566</v>
      </c>
      <c r="H22" s="10">
        <f>SUMIFS('[7]TABLO-1'!X4:X32873,'[7]TABLO-1'!H4:H32873,"=Dağıtım-OG",'[7]TABLO-1'!J4:J32873,"=Şebeke İşletmecisi",'[7]TABLO-1'!K4:K32873,"=Bildirimli",'[7]TABLO-1'!I4:I32873,"=Uzun",'[7]TABLO-1'!D4:D32873,"=VİZE")/P13</f>
        <v>0</v>
      </c>
      <c r="I22" s="10">
        <f t="shared" ref="I22:I25" si="6">IFERROR((((G22*$P$7)+(H22*$P$13))/$P$20),"0,00")</f>
        <v>3.9482310386838833E-3</v>
      </c>
      <c r="J22" s="10">
        <f>SUMIFS('[7]TABLO-1'!Y4:Y32873,'[7]TABLO-1'!H4:H32873,"=Dağıtım-OG",'[7]TABLO-1'!J4:J32873,"=Şebeke İşletmecisi",'[7]TABLO-1'!K4:K32873,"=Bildirimli",'[7]TABLO-1'!I4:I32873,"=Uzun",'[7]TABLO-1'!D4:D32873,"=VİZE")/P8</f>
        <v>11.065977961190569</v>
      </c>
      <c r="K22" s="10">
        <f>SUMIFS('[7]TABLO-1'!Z4:Z32873,'[7]TABLO-1'!H4:H32873,"=Dağıtım-OG",'[7]TABLO-1'!J4:J32873,"=Şebeke İşletmecisi",'[7]TABLO-1'!K4:K32873,"=Bildirimli",'[7]TABLO-1'!I4:I32873,"=Uzun",'[7]TABLO-1'!D4:D32873,"=VİZE")/P14</f>
        <v>9.0533388226856459</v>
      </c>
      <c r="L22" s="10">
        <f t="shared" ref="L22:L25" si="7">IFERROR((((J22*$P$8)+(K22*$P$14))/$P$23),"0,00")</f>
        <v>9.0815839323770291</v>
      </c>
      <c r="M22" s="11">
        <f t="shared" ref="M22:M25" si="8">IFERROR((((F22*$P$17)+(I22*$P$20)+(L22*$P$23))/$P$26),"0,00")</f>
        <v>3.3534314773663771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SUMIFS('[7]TABLO-1'!U4:U32873,'[7]TABLO-1'!H4:H32873,"=Dağıtım-OG",'[7]TABLO-1'!J4:J32873,"=Güvenlik",'[7]TABLO-1'!K4:K32873,"=Bildirimli",'[7]TABLO-1'!I4:I32873,"=Uzun",'[7]TABLO-1'!D4:D32873,"=VİZE")/P6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SUMIFS('[7]TABLO-1'!V4:V32873,'[7]TABLO-1'!H4:H32873,"=Dağıtım-OG",'[7]TABLO-1'!J4:J32873,"=Güvenlik",'[7]TABLO-1'!K4:K32873,"=Bildirimli",'[7]TABLO-1'!I4:I32873,"=Uzun",'[7]TABLO-1'!D4:D32873,"=VİZE")/P12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SUMIFS('[7]TABLO-1'!W4:W32873,'[7]TABLO-1'!H4:H32873,"=Dağıtım-OG",'[7]TABLO-1'!J4:J32873,"=Güvenlik",'[7]TABLO-1'!K4:K32873,"=Bildirimli",'[7]TABLO-1'!I4:I32873,"=Uzun",'[7]TABLO-1'!D4:D32873,"=VİZE")/P7</f>
        <v>0</v>
      </c>
      <c r="H23" s="10">
        <f>SUMIFS('[7]TABLO-1'!X4:X32873,'[7]TABLO-1'!H4:H32873,"=Dağıtım-OG",'[7]TABLO-1'!J4:J32873,"=Güvenlik",'[7]TABLO-1'!K4:K32873,"=Bildirimli",'[7]TABLO-1'!I4:I32873,"=Uzun",'[7]TABLO-1'!D4:D32873,"=VİZE")/P13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SUMIFS('[7]TABLO-1'!Y4:Y32873,'[7]TABLO-1'!H4:H32873,"=Dağıtım-OG",'[7]TABLO-1'!J4:J32873,"=Güvenlik",'[7]TABLO-1'!K4:K32873,"=Bildirimli",'[7]TABLO-1'!I4:I32873,"=Uzun",'[7]TABLO-1'!D4:D32873,"=VİZE")/P8</f>
        <v>0</v>
      </c>
      <c r="K23" s="10">
        <f>SUMIFS('[7]TABLO-1'!Z4:Z32873,'[7]TABLO-1'!H4:H32873,"=Dağıtım-OG",'[7]TABLO-1'!J4:J32873,"=Güvenlik",'[7]TABLO-1'!K4:K32873,"=Bildirimli",'[7]TABLO-1'!I4:I32873,"=Uzun",'[7]TABLO-1'!D4:D32873,"=VİZE")/P14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8622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İşletmecisi",'[7]TABLO-1'!K4:K32873,"=Bildirimli",'[7]TABLO-1'!I4:I32873,"=Uzun",'[7]TABLO-1'!D4:D32873,"=VİZE")/P6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İşletmecisi",'[7]TABLO-1'!K4:K32873,"=Bildirimli",'[7]TABLO-1'!I4:I32873,"=Uzun",'[7]TABLO-1'!D4:D32873,"=VİZE")/P12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İşletmecisi",'[7]TABLO-1'!K4:K32873,"=Bildirimli",'[7]TABLO-1'!I4:I32873,"=Uzun",'[7]TABLO-1'!D4:D32873,"=VİZE")/P7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İşletmecisi",'[7]TABLO-1'!K4:K32873,"=Bildirimli",'[7]TABLO-1'!I4:I32873,"=Uzun",'[7]TABLO-1'!D4:D32873,"=VİZE")/P13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İşletmecisi",'[7]TABLO-1'!K4:K32873,"=Bildirimli",'[7]TABLO-1'!I4:I32873,"=Uzun",'[7]TABLO-1'!D4:D32873,"=VİZE")/P8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İşletmecisi",'[7]TABLO-1'!K4:K32873,"=Bildirimli",'[7]TABLO-1'!I4:I32873,"=Uzun",'[7]TABLO-1'!D4:D32873,"=VİZE")/P14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SUMIFS('[7]TABLO-1'!U4:U32873,'[7]TABLO-1'!H4:H32873,"=Dağıtım-AG",'[7]TABLO-1'!J4:J32873,"=Güvenlik",'[7]TABLO-1'!K4:K32873,"=Bildirimli",'[7]TABLO-1'!I4:I32873,"=Uzun",'[7]TABLO-1'!D4:D32873,"=VİZE")/P6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SUMIFS('[7]TABLO-1'!V4:V32873,'[7]TABLO-1'!H4:H32873,"=Dağıtım-AG",'[7]TABLO-1'!J4:J32873,"=Güvenlik",'[7]TABLO-1'!K4:K32873,"=Bildirimli",'[7]TABLO-1'!I4:I32873,"=Uzun",'[7]TABLO-1'!D4:D32873,"=VİZE")/P12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SUMIFS('[7]TABLO-1'!W4:W32873,'[7]TABLO-1'!H4:H32873,"=Dağıtım-AG",'[7]TABLO-1'!J4:J32873,"=Güvenlik",'[7]TABLO-1'!K4:K32873,"=Bildirimli",'[7]TABLO-1'!I4:I32873,"=Uzun",'[7]TABLO-1'!D4:D32873,"=VİZE")/P7</f>
        <v>0</v>
      </c>
      <c r="H25" s="10">
        <f>SUMIFS('[7]TABLO-1'!X4:X32873,'[7]TABLO-1'!H4:H32873,"=Dağıtım-AG",'[7]TABLO-1'!J4:J32873,"=Güvenlik",'[7]TABLO-1'!K4:K32873,"=Bildirimli",'[7]TABLO-1'!I4:I32873,"=Uzun",'[7]TABLO-1'!D4:D32873,"=VİZE")/P13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SUMIFS('[7]TABLO-1'!Y4:Y32873,'[7]TABLO-1'!H4:H32873,"=Dağıtım-AG",'[7]TABLO-1'!J4:J32873,"=Güvenlik",'[7]TABLO-1'!K4:K32873,"=Bildirimli",'[7]TABLO-1'!I4:I32873,"=Uzun",'[7]TABLO-1'!D4:D32873,"=VİZE")/P8</f>
        <v>0</v>
      </c>
      <c r="K25" s="10">
        <f>SUMIFS('[7]TABLO-1'!Z4:Z32873,'[7]TABLO-1'!H4:H32873,"=Dağıtım-AG",'[7]TABLO-1'!J4:J32873,"=Güvenlik",'[7]TABLO-1'!K4:K32873,"=Bildirimli",'[7]TABLO-1'!I4:I32873,"=Uzun",'[7]TABLO-1'!D4:D32873,"=VİZE")/P14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170.01455398797859</v>
      </c>
      <c r="H26" s="10">
        <f t="shared" si="9"/>
        <v>42.879651082895165</v>
      </c>
      <c r="I26" s="10">
        <f t="shared" si="9"/>
        <v>43.491829998206178</v>
      </c>
      <c r="J26" s="10">
        <f t="shared" si="9"/>
        <v>266.27024792964102</v>
      </c>
      <c r="K26" s="10">
        <f t="shared" si="9"/>
        <v>198.38080617649749</v>
      </c>
      <c r="L26" s="10">
        <f t="shared" si="9"/>
        <v>199.33355756273392</v>
      </c>
      <c r="M26" s="11">
        <f t="shared" si="9"/>
        <v>100.99460635209662</v>
      </c>
      <c r="O26" s="43" t="s">
        <v>22</v>
      </c>
      <c r="P26" s="44">
        <f>P20+P17+P23</f>
        <v>23367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İşletmecisi",'[7]TABLO-1'!K4:K32873,"=Bildirimsiz",'[7]TABLO-1'!I4:I32873,"=Uzun",'[7]TABLO-1'!D4:D32873,"=VİZE")/P6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İşletmecisi",'[7]TABLO-1'!K4:K32873,"=Bildirimsiz",'[7]TABLO-1'!I4:I32873,"=Uzun",'[7]TABLO-1'!D4:D32873,"=VİZE")/P12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İşletmecisi",'[7]TABLO-1'!K4:K32873,"=Bildirimsiz",'[7]TABLO-1'!I4:I32873,"=Uzun",'[7]TABLO-1'!D4:D32873,"=VİZE")/P7</f>
        <v>0.14084507042253522</v>
      </c>
      <c r="H31" s="10">
        <f>SUMIFS('[7]TABLO-1'!R4:R32873,'[7]TABLO-1'!H4:H32873,"=İletim",'[7]TABLO-1'!J4:J32873,"=Şebeke İşletmecisi",'[7]TABLO-1'!K4:K32873,"=Bildirimsiz",'[7]TABLO-1'!I4:I32873,"=Uzun",'[7]TABLO-1'!D4:D32873,"=VİZE")/P13</f>
        <v>0</v>
      </c>
      <c r="I31" s="10">
        <f>IFERROR((((G31*$P$7)+(H31*$P$13))/$P$20),"0,00")</f>
        <v>6.7819599864360806E-4</v>
      </c>
      <c r="J31" s="10">
        <f>SUMIFS('[7]TABLO-1'!S4:S32873,'[7]TABLO-1'!H4:H32873,"=İletim",'[7]TABLO-1'!J4:J32873,"=Şebeke İşletmecisi",'[7]TABLO-1'!K4:K32873,"=Bildirimsiz",'[7]TABLO-1'!I4:I32873,"=Uzun",'[7]TABLO-1'!D4:D32873,"=VİZE")/P8</f>
        <v>0.33057851239669422</v>
      </c>
      <c r="K31" s="10">
        <f>SUMIFS('[7]TABLO-1'!T4:T32873,'[7]TABLO-1'!H4:H32873,"=İletim",'[7]TABLO-1'!J4:J32873,"=Şebeke İşletmecisi",'[7]TABLO-1'!K4:K32873,"=bildirimsiz",'[7]TABLO-1'!I4:I32873,"=Uzun",'[7]TABLO-1'!D4:D32873,"=VİZE")/P14</f>
        <v>0.24479473003176097</v>
      </c>
      <c r="L31" s="10">
        <f>IFERROR((((J31*$P$8)+(K31*$P$14))/$P$23),"0,00")</f>
        <v>0.24599860821155184</v>
      </c>
      <c r="M31" s="11">
        <f>IFERROR((((F31*$P$17)+(I31*$P$20)+(L31*$P$23))/$P$26),"0,00")</f>
        <v>9.1196987204176835E-2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Sebep",'[7]TABLO-1'!K4:K32873,"=Bildirimsiz",'[7]TABLO-1'!I4:I32873,"=Uzun",'[7]TABLO-1'!D4:D32873,"=VİZE")/P6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Sebep",'[7]TABLO-1'!K4:K32873,"=Bildirimsiz",'[7]TABLO-1'!I4:I32873,"=Uzun",'[7]TABLO-1'!D4:D32873,"=VİZE")/P12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Sebep",'[7]TABLO-1'!K4:K32873,"=Bildirimsiz",'[7]TABLO-1'!I4:I32873,"=Uzun",'[7]TABLO-1'!D4:D32873,"=VİZE")/P7</f>
        <v>0</v>
      </c>
      <c r="H32" s="10">
        <f>SUMIFS('[7]TABLO-1'!R4:R32873,'[7]TABLO-1'!H4:H32873,"=İletim",'[7]TABLO-1'!J4:J32873,"=Mücbir Sebep",'[7]TABLO-1'!K4:K32873,"=Bildirimsiz",'[7]TABLO-1'!I4:I32873,"=Uzun",'[7]TABLO-1'!D4:D32873,"=VİZE")/P13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Sebep",'[7]TABLO-1'!K4:K32873,"=Bildirimsiz",'[7]TABLO-1'!I4:I32873,"=Uzun",'[7]TABLO-1'!D4:D32873,"=VİZE")/P8</f>
        <v>0</v>
      </c>
      <c r="K32" s="10">
        <f>SUMIFS('[7]TABLO-1'!T4:T32873,'[7]TABLO-1'!H4:H32873,"=İletim",'[7]TABLO-1'!J4:J32873,"=Mücbir Sebep",'[7]TABLO-1'!K4:K32873,"=bildirimsiz",'[7]TABLO-1'!I4:I32873,"=Uzun",'[7]TABLO-1'!D4:D32873,"=VİZE")/P14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İşletmecisi",'[7]TABLO-1'!K4:K32873,"=Bildirimsiz",'[7]TABLO-1'!I4:I32873,"=Uzun",'[7]TABLO-1'!D4:D32873,"=VİZE")/P6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İşletmecisi",'[7]TABLO-1'!K4:K32873,"=Bildirimsiz",'[7]TABLO-1'!I4:I32873,"=Uzun",'[7]TABLO-1'!D4:D32873,"=VİZE")/P12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İşletmecisi",'[7]TABLO-1'!K4:K32873,"=Bildirimsiz",'[7]TABLO-1'!I4:I32873,"=Uzun",'[7]TABLO-1'!D4:D32873,"=VİZE")/P7</f>
        <v>1.0704225352112675</v>
      </c>
      <c r="H33" s="10">
        <f>SUMIFS('[7]TABLO-1'!R4:R32873,'[7]TABLO-1'!H4:H32873,"=Dağıtım-OG",'[7]TABLO-1'!J4:J32873,"=Şebeke İşletmecisi",'[7]TABLO-1'!K4:K32873,"=Bildirimsiz",'[7]TABLO-1'!I4:I32873,"=Uzun",'[7]TABLO-1'!D4:D32873,"=VİZE")/P13</f>
        <v>0.26734360092680931</v>
      </c>
      <c r="I33" s="10">
        <f t="shared" si="11"/>
        <v>0.27121057985757885</v>
      </c>
      <c r="J33" s="10">
        <f>SUMIFS('[7]TABLO-1'!S4:S32873,'[7]TABLO-1'!H4:H32873,"=Dağıtım-OG",'[7]TABLO-1'!J4:J32873,"=Şebeke İşletmecisi",'[7]TABLO-1'!K4:K32873,"=Bildirimsiz",'[7]TABLO-1'!I4:I32873,"=Uzun",'[7]TABLO-1'!D4:D32873,"=VİZE")/P8</f>
        <v>2.7685950413223139</v>
      </c>
      <c r="K33" s="10">
        <f>SUMIFS('[7]TABLO-1'!T4:T32873,'[7]TABLO-1'!H4:H32873,"=Dağıtım-OG",'[7]TABLO-1'!J4:J32873,"=Şebeke İşletmecisi",'[7]TABLO-1'!K4:K32873,"=bildirimsiz",'[7]TABLO-1'!I4:I32873,"=Uzun",'[7]TABLO-1'!D4:D32873,"=VİZE")/P14</f>
        <v>2.539113045524056</v>
      </c>
      <c r="L33" s="10">
        <f t="shared" si="12"/>
        <v>2.5423335652980747</v>
      </c>
      <c r="M33" s="11">
        <f t="shared" si="13"/>
        <v>1.1092138485898917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SUMIFS('[7]TABLO-1'!O4:O32873,'[7]TABLO-1'!H4:H32873,"=Dağıtım-OG",'[7]TABLO-1'!J4:J32873,"=Dışsal",'[7]TABLO-1'!K4:K32873,"=Bildirimsiz",'[7]TABLO-1'!I4:I32873,"=Uzun",'[7]TABLO-1'!D4:D32873,"=VİZE")/P6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SUMIFS('[7]TABLO-1'!P4:P32873,'[7]TABLO-1'!H4:H32873,"=Dağıtım-OG",'[7]TABLO-1'!J4:J32873,"=Dışsal",'[7]TABLO-1'!K4:K32873,"=Bildirimsiz",'[7]TABLO-1'!I4:I32873,"=Uzun",'[7]TABLO-1'!D4:D32873,"=VİZE")/P12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SUMIFS('[7]TABLO-1'!Q4:Q32873,'[7]TABLO-1'!H4:H32873,"=Dağıtım-OG",'[7]TABLO-1'!J4:J32873,"=Dışsal",'[7]TABLO-1'!K4:K32873,"=Bildirimsiz",'[7]TABLO-1'!I4:I32873,"=Uzun",'[7]TABLO-1'!D4:D32873,"=VİZE")/P7</f>
        <v>1.4084507042253521E-2</v>
      </c>
      <c r="H34" s="10">
        <f>SUMIFS('[7]TABLO-1'!R4:R32873,'[7]TABLO-1'!H4:H32873,"=Dağıtım-OG",'[7]TABLO-1'!J4:J32873,"=Dışsal",'[7]TABLO-1'!K4:K32873,"=Bildirimsiz",'[7]TABLO-1'!I4:I32873,"=Uzun",'[7]TABLO-1'!D4:D32873,"=VİZE")/P13</f>
        <v>0</v>
      </c>
      <c r="I34" s="10">
        <f t="shared" si="11"/>
        <v>6.7819599864360803E-5</v>
      </c>
      <c r="J34" s="10">
        <f>SUMIFS('[7]TABLO-1'!S4:S32873,'[7]TABLO-1'!H4:H32873,"=Dağıtım-OG",'[7]TABLO-1'!J4:J32873,"=Dışsal",'[7]TABLO-1'!K4:K32873,"=Bildirimsiz",'[7]TABLO-1'!I4:I32873,"=Uzun",'[7]TABLO-1'!D4:D32873,"=VİZE")/P8</f>
        <v>1.6528925619834711E-2</v>
      </c>
      <c r="K34" s="10">
        <f>SUMIFS('[7]TABLO-1'!T4:T32873,'[7]TABLO-1'!H4:H32873,"=Dağıtım-OG",'[7]TABLO-1'!J4:J32873,"=Dışsal",'[7]TABLO-1'!K4:K32873,"=bildirimsiz",'[7]TABLO-1'!I4:I32873,"=Uzun",'[7]TABLO-1'!D4:D32873,"=VİZE")/P14</f>
        <v>0</v>
      </c>
      <c r="L34" s="10">
        <f t="shared" si="12"/>
        <v>2.3196474135931338E-4</v>
      </c>
      <c r="M34" s="11">
        <f t="shared" si="13"/>
        <v>1.2838618564642445E-4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Sebep",'[7]TABLO-1'!K4:K32873,"=Bildirimsiz",'[7]TABLO-1'!I4:I32873,"=Uzun",'[7]TABLO-1'!D4:D32873,"=VİZE")/P6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Sebep",'[7]TABLO-1'!K4:K32873,"=Bildirimsiz",'[7]TABLO-1'!I4:I32873,"=Uzun",'[7]TABLO-1'!D4:D32873,"=VİZE")/P12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Sebep",'[7]TABLO-1'!K4:K32873,"=Bildirimsiz",'[7]TABLO-1'!I4:I32873,"=Uzun",'[7]TABLO-1'!D4:D32873,"=VİZE")/P7</f>
        <v>0</v>
      </c>
      <c r="H35" s="10">
        <f>SUMIFS('[7]TABLO-1'!R4:R32873,'[7]TABLO-1'!H4:H32873,"=Dağıtım-OG",'[7]TABLO-1'!J4:J32873,"=Mücbir Sebep",'[7]TABLO-1'!K4:K32873,"=Bildirimsiz",'[7]TABLO-1'!I4:I32873,"=Uzun",'[7]TABLO-1'!D4:D32873,"=VİZE")/P13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Sebep",'[7]TABLO-1'!K4:K32873,"=Bildirimsiz",'[7]TABLO-1'!I4:I32873,"=Uzun",'[7]TABLO-1'!D4:D32873,"=VİZE")/P8</f>
        <v>0</v>
      </c>
      <c r="K35" s="10">
        <f>SUMIFS('[7]TABLO-1'!T4:T32873,'[7]TABLO-1'!H4:H32873,"=Dağıtım-OG",'[7]TABLO-1'!J4:J32873,"=Mücbir Sebep",'[7]TABLO-1'!K4:K32873,"=bildirimsiz",'[7]TABLO-1'!I4:I32873,"=Uzun",'[7]TABLO-1'!D4:D32873,"=VİZE")/P14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SUMIFS('[7]TABLO-1'!O4:O32873,'[7]TABLO-1'!H4:H32873,"=Dağıtım-OG",'[7]TABLO-1'!J4:J32873,"=Güvenlik",'[7]TABLO-1'!K4:K32873,"=Bildirimsiz",'[7]TABLO-1'!I4:I32873,"=Uzun",'[7]TABLO-1'!D4:D32873,"=VİZE")/P6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SUMIFS('[7]TABLO-1'!P4:P32873,'[7]TABLO-1'!H4:H32873,"=Dağıtım-OG",'[7]TABLO-1'!J4:J32873,"=Güvenlik",'[7]TABLO-1'!K4:K32873,"=Bildirimsiz",'[7]TABLO-1'!I4:I32873,"=Uzun",'[7]TABLO-1'!D4:D32873,"=VİZE")/P12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SUMIFS('[7]TABLO-1'!Q4:Q32873,'[7]TABLO-1'!H4:H32873,"=Dağıtım-OG",'[7]TABLO-1'!J4:J32873,"=Güvenlik",'[7]TABLO-1'!K4:K32873,"=Bildirimsiz",'[7]TABLO-1'!I4:I32873,"=Uzun",'[7]TABLO-1'!D4:D32873,"=VİZE")/P7</f>
        <v>0</v>
      </c>
      <c r="H36" s="10">
        <f>SUMIFS('[7]TABLO-1'!R4:R32873,'[7]TABLO-1'!H4:H32873,"=Dağıtım-OG",'[7]TABLO-1'!J4:J32873,"=Güvenlik",'[7]TABLO-1'!K4:K32873,"=Bildirimsiz",'[7]TABLO-1'!I4:I32873,"=Uzun",'[7]TABLO-1'!D4:D32873,"=VİZE")/P13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SUMIFS('[7]TABLO-1'!S4:S32873,'[7]TABLO-1'!H4:H32873,"=Dağıtım-OG",'[7]TABLO-1'!J4:J32873,"=Güvenlik",'[7]TABLO-1'!K4:K32873,"=Bildirimsiz",'[7]TABLO-1'!I4:I32873,"=Uzun",'[7]TABLO-1'!D4:D32873,"=VİZE")/P8</f>
        <v>0</v>
      </c>
      <c r="K36" s="10">
        <f>SUMIFS('[7]TABLO-1'!T4:T32873,'[7]TABLO-1'!H4:H32873,"=Dağıtım-OG",'[7]TABLO-1'!J4:J32873,"=Güvenlik",'[7]TABLO-1'!K4:K32873,"=bildirimsiz",'[7]TABLO-1'!I4:I32873,"=Uzun",'[7]TABLO-1'!D4:D32873,"=VİZE")/P14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İşletmecisi",'[7]TABLO-1'!K4:K32873,"=Bildirimsiz",'[7]TABLO-1'!I4:I32873,"=Uzun",'[7]TABLO-1'!D4:D32873,"=VİZE")/P6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İşletmecisi",'[7]TABLO-1'!K4:K32873,"=Bildirimsiz",'[7]TABLO-1'!I4:I32873,"=Uzun",'[7]TABLO-1'!D4:D32873,"=VİZE")/P12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İşletmecisi",'[7]TABLO-1'!K4:K32873,"=Bildirimsiz",'[7]TABLO-1'!I4:I32873,"=Uzun",'[7]TABLO-1'!D4:D32873,"=VİZE")/P7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İşletmecisi",'[7]TABLO-1'!K4:K32873,"=Bildirimsiz",'[7]TABLO-1'!I4:I32873,"=Uzun",'[7]TABLO-1'!D4:D32873,"=VİZE")/P13</f>
        <v>7.8301758211803185E-2</v>
      </c>
      <c r="I37" s="10">
        <f t="shared" si="11"/>
        <v>7.7924720244150564E-2</v>
      </c>
      <c r="J37" s="12">
        <f>SUMIFS('[7]TABLO-1'!S4:S32873,'[7]TABLO-1'!H4:H32873,"=Dağıtım-AG",'[7]TABLO-1'!J4:J32873,"=Şebeke İşletmecisi",'[7]TABLO-1'!K4:K32873,"=Bildirimsiz",'[7]TABLO-1'!I4:I32873,"=Uzun",'[7]TABLO-1'!D4:D32873,"=VİZE")/P8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İşletmecisi",'[7]TABLO-1'!K4:K32873,"=bildirimsiz",'[7]TABLO-1'!I4:I32873,"=Uzun",'[7]TABLO-1'!D4:D32873,"=VİZE")/P14</f>
        <v>0.21068109634160687</v>
      </c>
      <c r="L37" s="10">
        <f t="shared" si="12"/>
        <v>0.20772442588726514</v>
      </c>
      <c r="M37" s="11">
        <f t="shared" si="13"/>
        <v>0.12581846193349597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SUMIFS('[7]TABLO-1'!O4:O32873,'[7]TABLO-1'!H4:H32873,"=Dağıtım-AG",'[7]TABLO-1'!J4:J32873,"=Dışsal",'[7]TABLO-1'!K4:K32873,"=Bildirimsiz",'[7]TABLO-1'!I4:I32873,"=Uzun",'[7]TABLO-1'!D4:D32873,"=VİZE")/P6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SUMIFS('[7]TABLO-1'!P4:P32873,'[7]TABLO-1'!H4:H32873,"=Dağıtım-AG",'[7]TABLO-1'!J4:J32873,"=Dışsal",'[7]TABLO-1'!K4:K32873,"=Bildirimsiz",'[7]TABLO-1'!I4:I32873,"=Uzun",'[7]TABLO-1'!D4:D32873,"=VİZE")/P12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SUMIFS('[7]TABLO-1'!Q4:Q32873,'[7]TABLO-1'!H4:H32873,"=Dağıtım-AG",'[7]TABLO-1'!J4:J32873,"=Dışsal",'[7]TABLO-1'!K4:K32873,"=Bildirimsiz",'[7]TABLO-1'!I4:I32873,"=Uzun",'[7]TABLO-1'!D4:D32873,"=VİZE")/P7</f>
        <v>0</v>
      </c>
      <c r="H38" s="10">
        <f>SUMIFS('[7]TABLO-1'!R4:R32873,'[7]TABLO-1'!H4:H32873,"=Dağıtım-AG",'[7]TABLO-1'!J4:J32873,"=Dışsal",'[7]TABLO-1'!K4:K32873,"=Bildirimsiz",'[7]TABLO-1'!I4:I32873,"=Uzun",'[7]TABLO-1'!D4:D32873,"=VİZE")/P13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SUMIFS('[7]TABLO-1'!S4:S32873,'[7]TABLO-1'!H4:H32873,"=Dağıtım-AG",'[7]TABLO-1'!J4:J32873,"=Dışsal",'[7]TABLO-1'!K4:K32873,"=Bildirimsiz",'[7]TABLO-1'!I4:I32873,"=Uzun",'[7]TABLO-1'!D4:D32873,"=VİZE")/P8</f>
        <v>0</v>
      </c>
      <c r="K38" s="10">
        <f>SUMIFS('[7]TABLO-1'!T4:T32873,'[7]TABLO-1'!H4:H32873,"=Dağıtım-AG",'[7]TABLO-1'!J4:J32873,"=Dışsal",'[7]TABLO-1'!K4:K32873,"=bildirimsiz",'[7]TABLO-1'!I4:I32873,"=Uzun",'[7]TABLO-1'!D4:D32873,"=VİZE")/P14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Sebep",'[7]TABLO-1'!K4:K32873,"=Bildirimsiz",'[7]TABLO-1'!I4:I32873,"=Uzun",'[7]TABLO-1'!D4:D32873,"=VİZE")/P6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Sebep",'[7]TABLO-1'!K4:K32873,"=Bildirimsiz",'[7]TABLO-1'!I4:I32873,"=Uzun",'[7]TABLO-1'!D4:D32873,"=VİZE")/P12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Sebep",'[7]TABLO-1'!K4:K32873,"=Bildirimsiz",'[7]TABLO-1'!I4:I32873,"=Uzun",'[7]TABLO-1'!D4:D32873,"=VİZE")/P7</f>
        <v>0</v>
      </c>
      <c r="H39" s="10">
        <f>SUMIFS('[7]TABLO-1'!R4:R32873,'[7]TABLO-1'!H4:H32873,"=Dağıtım-AG",'[7]TABLO-1'!J4:J32873,"=Mücbir Sebep",'[7]TABLO-1'!K4:K32873,"=Bildirimsiz",'[7]TABLO-1'!I4:I32873,"=Uzun",'[7]TABLO-1'!D4:D32873,"=VİZE")/P13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Sebep",'[7]TABLO-1'!K4:K32873,"=Bildirimsiz",'[7]TABLO-1'!I4:I32873,"=Uzun",'[7]TABLO-1'!D4:D32873,"=VİZE")/P8</f>
        <v>0</v>
      </c>
      <c r="K39" s="10">
        <f>SUMIFS('[7]TABLO-1'!T4:T32873,'[7]TABLO-1'!H4:H32873,"=Dağıtım-AG",'[7]TABLO-1'!J4:J32873,"=Mücbir Sebep",'[7]TABLO-1'!K4:K32873,"=bildirimsiz",'[7]TABLO-1'!I4:I32873,"=Uzun",'[7]TABLO-1'!D4:D32873,"=VİZE")/P14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SUMIFS('[7]TABLO-1'!O4:O32873,'[7]TABLO-1'!H4:H32873,"=Dağıtım-AG",'[7]TABLO-1'!J4:J32873,"=Güvenlik",'[7]TABLO-1'!K4:K32873,"=Bildirimsiz",'[7]TABLO-1'!I4:I32873,"=Uzun",'[7]TABLO-1'!D4:D32873,"=VİZE")/P6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SUMIFS('[7]TABLO-1'!P4:P32873,'[7]TABLO-1'!H4:H32873,"=Dağıtım-AG",'[7]TABLO-1'!J4:J32873,"=Güvenlik",'[7]TABLO-1'!K4:K32873,"=Bildirimsiz",'[7]TABLO-1'!I4:I32873,"=Uzun",'[7]TABLO-1'!D4:D32873,"=VİZE")/P12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SUMIFS('[7]TABLO-1'!Q4:Q32873,'[7]TABLO-1'!H4:H32873,"=Dağıtım-AG",'[7]TABLO-1'!J4:J32873,"=Güvenlik",'[7]TABLO-1'!K4:K32873,"=Bildirimsiz",'[7]TABLO-1'!I4:I32873,"=Uzun",'[7]TABLO-1'!D4:D32873,"=VİZE")/P7</f>
        <v>0</v>
      </c>
      <c r="H40" s="10">
        <f>SUMIFS('[7]TABLO-1'!R4:R32873,'[7]TABLO-1'!H4:H32873,"=Dağıtım-AG",'[7]TABLO-1'!J4:J32873,"=Güvenlik",'[7]TABLO-1'!K4:K32873,"=Bildirimsiz",'[7]TABLO-1'!I4:I32873,"=Uzun",'[7]TABLO-1'!D4:D32873,"=VİZE")/P13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SUMIFS('[7]TABLO-1'!S4:S32873,'[7]TABLO-1'!H4:H32873,"=Dağıtım-AG",'[7]TABLO-1'!J4:J32873,"=Güvenlik",'[7]TABLO-1'!K4:K32873,"=Bildirimsiz",'[7]TABLO-1'!I4:I32873,"=Uzun",'[7]TABLO-1'!D4:D32873,"=VİZE")/P8</f>
        <v>0</v>
      </c>
      <c r="K40" s="10">
        <f>SUMIFS('[7]TABLO-1'!T4:T32873,'[7]TABLO-1'!H4:H32873,"=Dağıtım-AG",'[7]TABLO-1'!J4:J32873,"=Güvenlik",'[7]TABLO-1'!K4:K32873,"=bildirimsiz",'[7]TABLO-1'!I4:I32873,"=Uzun",'[7]TABLO-1'!D4:D32873,"=VİZE")/P14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1.2253521126760563</v>
      </c>
      <c r="H41" s="10">
        <f t="shared" si="14"/>
        <v>0.3456453591386125</v>
      </c>
      <c r="I41" s="10">
        <f t="shared" si="14"/>
        <v>0.34988131570023739</v>
      </c>
      <c r="J41" s="10">
        <f t="shared" si="14"/>
        <v>3.1157024793388426</v>
      </c>
      <c r="K41" s="10">
        <f t="shared" si="14"/>
        <v>2.9945888718974238</v>
      </c>
      <c r="L41" s="10">
        <f t="shared" si="14"/>
        <v>2.9962885641382511</v>
      </c>
      <c r="M41" s="10">
        <f t="shared" si="14"/>
        <v>1.326357683913211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İşletmecisi",'[7]TABLO-1'!K4:K32873,"=Bildirimli",'[7]TABLO-1'!I4:I32873,"=Uzun",'[7]TABLO-1'!D4:D32873,"=VİZE")/P6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İşletmecisi",'[7]TABLO-1'!K4:K32873,"=Bildirimli",'[7]TABLO-1'!I4:I32873,"=Uzun",'[7]TABLO-1'!D4:D32873,"=VİZE")/P12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İşletmecisi",'[7]TABLO-1'!K4:K32873,"=Bildirimli",'[7]TABLO-1'!I4:I32873,"=Uzun",'[7]TABLO-1'!D4:D32873,"=VİZE")/P7</f>
        <v>0.39436619718309857</v>
      </c>
      <c r="H46" s="10">
        <f>SUMIFS('[7]TABLO-1'!R4:R32873,'[7]TABLO-1'!H4:H32873,"=İletim",'[7]TABLO-1'!J4:J32873,"=Şebeke İşletmecisi",'[7]TABLO-1'!K4:K32873,"=Bildirimli",'[7]TABLO-1'!I4:I32873,"=Uzun",'[7]TABLO-1'!D4:D32873,"=VİZE")/P13</f>
        <v>9.159056835218754E-2</v>
      </c>
      <c r="I46" s="10">
        <f>IFERROR((((G46*$P$7)+(H46*$P$13))/$P$20),"0,00")</f>
        <v>9.3048491013903015E-2</v>
      </c>
      <c r="J46" s="10">
        <f>SUMIFS('[7]TABLO-1'!S4:S32873,'[7]TABLO-1'!H4:H32873,"=İletim",'[7]TABLO-1'!J4:J32873,"=Şebeke İşletmecisi",'[7]TABLO-1'!K4:K32873,"=Bildirimli",'[7]TABLO-1'!I4:I32873,"=Uzun",'[7]TABLO-1'!D4:D32873,"=VİZE")/P8</f>
        <v>0.65289256198347112</v>
      </c>
      <c r="K46" s="10">
        <f>SUMIFS('[7]TABLO-1'!T4:T32873,'[7]TABLO-1'!H4:H32873,"=İletim",'[7]TABLO-1'!J4:J32873,"=Şebeke İşletmecisi",'[7]TABLO-1'!K4:K32873,"=bildirimli",'[7]TABLO-1'!I4:I32873,"=Uzun",'[7]TABLO-1'!D4:D32873,"=VİZE")/P14</f>
        <v>0.48558993059640043</v>
      </c>
      <c r="L46" s="10">
        <f>IFERROR((((J46*$P$8)+(K46*$P$14))/$P$23),"0,00")</f>
        <v>0.48793783344931568</v>
      </c>
      <c r="M46" s="11">
        <f>IFERROR((((F46*$P$17)+(I46*$P$20)+(L46*$P$23))/$P$26),"0,00")</f>
        <v>0.23875550990713398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İşletmecisi",'[7]TABLO-1'!K4:K32873,"=Bildirimli",'[7]TABLO-1'!I4:I32873,"=Uzun",'[7]TABLO-1'!D4:D32873,"=VİZE")/P6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İşletmecisi",'[7]TABLO-1'!K4:K32873,"=Bildirimli",'[7]TABLO-1'!I4:I32873,"=Uzun",'[7]TABLO-1'!D4:D32873,"=VİZE")/P12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İşletmecisi",'[7]TABLO-1'!K4:K32873,"=Bildirimli",'[7]TABLO-1'!I4:I32873,"=Uzun",'[7]TABLO-1'!D4:D32873,"=VİZE")/P7</f>
        <v>1.4084507042253521E-2</v>
      </c>
      <c r="H47" s="10">
        <f>SUMIFS('[7]TABLO-1'!R4:R32873,'[7]TABLO-1'!H4:H32873,"=Dağıtım-OG",'[7]TABLO-1'!J4:J32873,"=Şebeke İşletmecisi",'[7]TABLO-1'!K4:K32873,"=Bildirimli",'[7]TABLO-1'!I4:I32873,"=Uzun",'[7]TABLO-1'!D4:D32873,"=VİZE")/P13</f>
        <v>0</v>
      </c>
      <c r="I47" s="10">
        <f t="shared" ref="I47:I50" si="16">IFERROR((((G47*$P$7)+(H47*$P$13))/$P$20),"0,00")</f>
        <v>6.7819599864360803E-5</v>
      </c>
      <c r="J47" s="10">
        <f>SUMIFS('[7]TABLO-1'!S4:S32873,'[7]TABLO-1'!H4:H32873,"=Dağıtım-OG",'[7]TABLO-1'!J4:J32873,"=Şebeke İşletmecisi",'[7]TABLO-1'!K4:K32873,"=Bildirimli",'[7]TABLO-1'!I4:I32873,"=Uzun",'[7]TABLO-1'!D4:D32873,"=VİZE")/P8</f>
        <v>0.19008264462809918</v>
      </c>
      <c r="K47" s="10">
        <f>SUMIFS('[7]TABLO-1'!T4:T32873,'[7]TABLO-1'!H4:H32873,"=Dağıtım-OG",'[7]TABLO-1'!J4:J32873,"=Şebeke İşletmecisi",'[7]TABLO-1'!K4:K32873,"=bildirimli",'[7]TABLO-1'!I4:I32873,"=Uzun",'[7]TABLO-1'!D4:D32873,"=VİZE")/P14</f>
        <v>0.15551111633925421</v>
      </c>
      <c r="L47" s="10">
        <f t="shared" ref="L47:L50" si="17">IFERROR((((J47*$P$8)+(K47*$P$14))/$P$23),"0,00")</f>
        <v>0.15599628856413825</v>
      </c>
      <c r="M47" s="11">
        <f t="shared" ref="M47:M50" si="18">IFERROR((((F47*$P$17)+(I47*$P$20)+(L47*$P$23))/$P$26),"0,00")</f>
        <v>5.7602601960029101E-2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SUMIFS('[7]TABLO-1'!O4:O32873,'[7]TABLO-1'!H4:H32873,"=Dağıtım-OG",'[7]TABLO-1'!J4:J32873,"=Güvenlik",'[7]TABLO-1'!K4:K32873,"=Bildirimli",'[7]TABLO-1'!I4:I32873,"=Uzun",'[7]TABLO-1'!D4:D32873,"=VİZE")/P6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SUMIFS('[7]TABLO-1'!P4:P32873,'[7]TABLO-1'!H4:H32873,"=Dağıtım-OG",'[7]TABLO-1'!J4:J32873,"=Güvenlik",'[7]TABLO-1'!K4:K32873,"=Bildirimli",'[7]TABLO-1'!I4:I32873,"=Uzun",'[7]TABLO-1'!D4:D32873,"=VİZE")/P12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SUMIFS('[7]TABLO-1'!Q4:Q32873,'[7]TABLO-1'!H4:H32873,"=Dağıtım-OG",'[7]TABLO-1'!J4:J32873,"=Güvenlik",'[7]TABLO-1'!K4:K32873,"=Bildirimli",'[7]TABLO-1'!I4:I32873,"=Uzun",'[7]TABLO-1'!D4:D32873,"=VİZE")/P7</f>
        <v>0</v>
      </c>
      <c r="H48" s="10">
        <f>SUMIFS('[7]TABLO-1'!R4:R32873,'[7]TABLO-1'!H4:H32873,"=Dağıtım-OG",'[7]TABLO-1'!J4:J32873,"=Güvenlik",'[7]TABLO-1'!K4:K32873,"=Bildirimli",'[7]TABLO-1'!I4:I32873,"=Uzun",'[7]TABLO-1'!D4:D32873,"=VİZE")/P13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SUMIFS('[7]TABLO-1'!S4:S32873,'[7]TABLO-1'!H4:H32873,"=Dağıtım-OG",'[7]TABLO-1'!J4:J32873,"=Güvenlik",'[7]TABLO-1'!K4:K32873,"=Bildirimli",'[7]TABLO-1'!I4:I32873,"=Uzun",'[7]TABLO-1'!D4:D32873,"=VİZE")/P8</f>
        <v>0</v>
      </c>
      <c r="K48" s="10">
        <f>SUMIFS('[7]TABLO-1'!T4:T32873,'[7]TABLO-1'!H4:H32873,"=Dağıtım-OG",'[7]TABLO-1'!J4:J32873,"=Güvenlik",'[7]TABLO-1'!K4:K32873,"=bildirimli",'[7]TABLO-1'!I4:I32873,"=Uzun",'[7]TABLO-1'!D4:D32873,"=VİZE")/P14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İşletmecisi",'[7]TABLO-1'!K4:K32873,"=Bildirimli",'[7]TABLO-1'!I4:I32873,"=Uzun",'[7]TABLO-1'!D4:D32873,"=VİZE")/P6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İşletmecisi",'[7]TABLO-1'!K4:K32873,"=Bildirimli",'[7]TABLO-1'!I4:I32873,"=Uzun",'[7]TABLO-1'!D4:D32873,"=VİZE")/P12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İşletmecisi",'[7]TABLO-1'!K4:K32873,"=Bildirimli",'[7]TABLO-1'!I4:I32873,"=Uzun",'[7]TABLO-1'!D4:D32873,"=VİZE")/P7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İşletmecisi",'[7]TABLO-1'!K4:K32873,"=Bildirimli",'[7]TABLO-1'!I4:I32873,"=Uzun",'[7]TABLO-1'!D4:D32873,"=VİZE")/P13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İşletmecisi",'[7]TABLO-1'!K4:K32873,"=Bildirimli",'[7]TABLO-1'!I4:I32873,"=Uzun",'[7]TABLO-1'!D4:D32873,"=VİZE")/P8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İşletmecisi",'[7]TABLO-1'!K4:K32873,"=bildirimli",'[7]TABLO-1'!I4:I32873,"=Uzun",'[7]TABLO-1'!D4:D32873,"=VİZE")/P14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SUMIFS('[7]TABLO-1'!O4:O32873,'[7]TABLO-1'!H4:H32873,"=Dağıtım-AG",'[7]TABLO-1'!J4:J32873,"=Güvenlik",'[7]TABLO-1'!K4:K32873,"=Bildirimli",'[7]TABLO-1'!I4:I32873,"=Uzun",'[7]TABLO-1'!D4:D32873,"=VİZE")/P6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SUMIFS('[7]TABLO-1'!P4:P32873,'[7]TABLO-1'!H4:H32873,"=Dağıtım-AG",'[7]TABLO-1'!J4:J32873,"=Güvenlik",'[7]TABLO-1'!K4:K32873,"=Bildirimli",'[7]TABLO-1'!I4:I32873,"=Uzun",'[7]TABLO-1'!D4:D32873,"=VİZE")/P12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SUMIFS('[7]TABLO-1'!Q4:Q32873,'[7]TABLO-1'!H4:H32873,"=Dağıtım-AG",'[7]TABLO-1'!J4:J32873,"=Güvenlik",'[7]TABLO-1'!K4:K32873,"=Bildirimli",'[7]TABLO-1'!I4:I32873,"=Uzun",'[7]TABLO-1'!D4:D32873,"=VİZE")/P7</f>
        <v>0</v>
      </c>
      <c r="H50" s="10">
        <f>SUMIFS('[7]TABLO-1'!R4:R32873,'[7]TABLO-1'!H4:H32873,"=Dağıtım-AG",'[7]TABLO-1'!J4:J32873,"=Güvenlik",'[7]TABLO-1'!K4:K32873,"=Bildirimli",'[7]TABLO-1'!I4:I32873,"=Uzun",'[7]TABLO-1'!D4:D32873,"=VİZE")/P13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SUMIFS('[7]TABLO-1'!S4:S32873,'[7]TABLO-1'!H4:H32873,"=Dağıtım-AG",'[7]TABLO-1'!J4:J32873,"=Güvenlik",'[7]TABLO-1'!K4:K32873,"=Bildirimli",'[7]TABLO-1'!I4:I32873,"=Uzun",'[7]TABLO-1'!D4:D32873,"=VİZE")/P8</f>
        <v>0</v>
      </c>
      <c r="K50" s="10">
        <f>SUMIFS('[7]TABLO-1'!T4:T32873,'[7]TABLO-1'!H4:H32873,"=Dağıtım-AG",'[7]TABLO-1'!J4:J32873,"=Güvenlik",'[7]TABLO-1'!K4:K32873,"=bildirimli",'[7]TABLO-1'!I4:I32873,"=Uzun",'[7]TABLO-1'!D4:D32873,"=VİZE")/P14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0.40845070422535207</v>
      </c>
      <c r="H51" s="10">
        <f t="shared" si="19"/>
        <v>9.159056835218754E-2</v>
      </c>
      <c r="I51" s="10">
        <f t="shared" si="19"/>
        <v>9.3116310613767378E-2</v>
      </c>
      <c r="J51" s="10">
        <f t="shared" si="19"/>
        <v>0.84297520661157033</v>
      </c>
      <c r="K51" s="10">
        <f t="shared" si="19"/>
        <v>0.64110104693565462</v>
      </c>
      <c r="L51" s="10">
        <f t="shared" si="19"/>
        <v>0.6439341220134539</v>
      </c>
      <c r="M51" s="10">
        <f t="shared" si="19"/>
        <v>0.2963581118671631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SUMIFS('[7]TABLO-1'!O1:O32873,'[7]TABLO-1'!H1:H32873,"=İletim",'[7]TABLO-1'!K1:K32873,"=Bildirimsiz",'[7]TABLO-1'!I1:I32873,"=Kısa",'[7]TABLO-1'!D1:D32873,"=VİZE")/P6</f>
        <v>#DIV/0!</v>
      </c>
      <c r="D56" s="10" t="e">
        <f>SUMIFS('[7]TABLO-1'!P1:P32873,'[7]TABLO-1'!H1:H32873,"=İletim",'[7]TABLO-1'!K1:K32873,"=Bildirimsiz",'[7]TABLO-1'!I1:I32873,"=Kısa",'[7]TABLO-1'!D1:D32873,"=VİZE")/P12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SUMIFS('[7]TABLO-1'!Q1:Q32873,'[7]TABLO-1'!H1:H32873,"=İletim",'[7]TABLO-1'!K1:K32873,"=Bildirimsiz",'[7]TABLO-1'!I1:I32873,"=Kısa",'[7]TABLO-1'!D1:D32873,"=VİZE")/P7</f>
        <v>0</v>
      </c>
      <c r="G56" s="10">
        <f>SUMIFS('[7]TABLO-1'!R1:R32873,'[7]TABLO-1'!H1:H32873,"=İletim",'[7]TABLO-1'!K1:K32873,"=Bildirimsiz",'[7]TABLO-1'!I1:I32873,"=Kısa",'[7]TABLO-1'!D1:D32873,"=VİZE")/P13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SUMIFS('[7]TABLO-1'!S1:S32873,'[7]TABLO-1'!H1:H32873,"=İletim",'[7]TABLO-1'!K1:K32873,"=Bildirimsiz",'[7]TABLO-1'!I1:I32873,"=Kısa",'[7]TABLO-1'!D1:D32873,"=VİZE")/P8</f>
        <v>0</v>
      </c>
      <c r="J56" s="10">
        <f>SUMIFS('[7]TABLO-1'!T1:T32873,'[7]TABLO-1'!H1:H32873,"=İletim",'[7]TABLO-1'!K1:K32873,"=Bildirimsiz",'[7]TABLO-1'!I1:I32873,"=Kısa",'[7]TABLO-1'!D1:D32873,"=VİZE")/P14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SUMIFS('[7]TABLO-1'!O4:O32873,'[7]TABLO-1'!H4:H32873,"=Dağıtım-OG",'[7]TABLO-1'!K4:K32873,"=Bildirimsiz",'[7]TABLO-1'!I4:I32873,"=Kısa",'[7]TABLO-1'!D4:D32873,"=VİZE")/P6</f>
        <v>#DIV/0!</v>
      </c>
      <c r="D57" s="10" t="e">
        <f>SUMIFS('[7]TABLO-1'!P4:P32873,'[7]TABLO-1'!H4:H32873,"=Dağıtım-OG",'[7]TABLO-1'!K4:K32873,"=Bildirimsiz",'[7]TABLO-1'!I4:I32873,"=Kısa",'[7]TABLO-1'!D4:D32873,"=VİZE")/P12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SUMIFS('[7]TABLO-1'!Q4:Q32873,'[7]TABLO-1'!H4:H32873,"=Dağıtım-OG",'[7]TABLO-1'!K4:K32873,"=Bildirimsiz",'[7]TABLO-1'!I4:I32873,"=Kısa",'[7]TABLO-1'!D4:D32873,"=VİZE")/P7</f>
        <v>0.14084507042253522</v>
      </c>
      <c r="G57" s="10">
        <f>SUMIFS('[7]TABLO-1'!R4:R32873,'[7]TABLO-1'!H4:H32873,"=Dağıtım-OG",'[7]TABLO-1'!K4:K32873,"=Bildirimsiz",'[7]TABLO-1'!I4:I32873,"=Kısa",'[7]TABLO-1'!D4:D32873,"=VİZE")/P13</f>
        <v>8.5048384898459867E-2</v>
      </c>
      <c r="H57" s="10">
        <f>IFERROR((((F57*$P$7)+(G57*$P$13))/$P$20),"0,00")</f>
        <v>8.5317056629365881E-2</v>
      </c>
      <c r="I57" s="10">
        <f>SUMIFS('[7]TABLO-1'!S4:S32873,'[7]TABLO-1'!H4:H32873,"=Dağıtım-OG",'[7]TABLO-1'!K4:K32873,"=Bildirimsiz",'[7]TABLO-1'!I4:I32873,"=Kısa",'[7]TABLO-1'!D4:D32873,"=VİZE")/P8</f>
        <v>1.0082644628099173</v>
      </c>
      <c r="J57" s="10">
        <f>SUMIFS('[7]TABLO-1'!T4:T32873,'[7]TABLO-1'!H4:H32873,"=Dağıtım-OG",'[7]TABLO-1'!K4:K32873,"=Bildirimsiz",'[7]TABLO-1'!I4:I32873,"=Kısa",'[7]TABLO-1'!D4:D32873,"=VİZE")/P14</f>
        <v>0.46723914833548996</v>
      </c>
      <c r="K57" s="10">
        <f>IFERROR((((I57*$P$8)+(J57*$P$14))/$P$23),"0,00")</f>
        <v>0.47483182556251452</v>
      </c>
      <c r="L57" s="11">
        <f>IFERROR((((E57*$P$17)+(H57*$P$20)+(K57*$P$23))/$P$26),"0,00")</f>
        <v>0.22904095519322121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SUMIFS('[7]TABLO-1'!O4:O32873,'[7]TABLO-1'!H4:H32873,"=Dağıtım-AG",'[7]TABLO-1'!K4:K32873,"=Bildirimsiz",'[7]TABLO-1'!I4:I32873,"=Kısa",'[7]TABLO-1'!D4:D32873,"=VİZE")/P6</f>
        <v>#DIV/0!</v>
      </c>
      <c r="D58" s="10" t="e">
        <f>SUMIFS('[7]TABLO-1'!P4:P32873,'[7]TABLO-1'!H4:H32873,"=Dağıtım-AG",'[7]TABLO-1'!K4:K32873,"=Bildirimsiz",'[7]TABLO-1'!I4:I32873,"=Kısa",'[7]TABLO-1'!D4:D32873,"=VİZE")/P12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SUMIFS('[7]TABLO-1'!Q4:Q32873,'[7]TABLO-1'!H4:H32873,"=Dağıtım-AG",'[7]TABLO-1'!K4:K32873,"=Bildirimsiz",'[7]TABLO-1'!I4:I32873,"=Kısa",'[7]TABLO-1'!D4:D32873,"=VİZE")/P7</f>
        <v>0</v>
      </c>
      <c r="G58" s="10">
        <f>SUMIFS('[7]TABLO-1'!R4:R32873,'[7]TABLO-1'!H4:H32873,"=Dağıtım-AG",'[7]TABLO-1'!K4:K32873,"=Bildirimsiz",'[7]TABLO-1'!I4:I32873,"=Kısa",'[7]TABLO-1'!D4:D32873,"=VİZE")/P13</f>
        <v>1.771841352051247E-3</v>
      </c>
      <c r="H58" s="10">
        <f>IFERROR((((F58*$P$7)+(G58*$P$13))/$P$20),"0,00")</f>
        <v>1.7633095964733809E-3</v>
      </c>
      <c r="I58" s="10">
        <f>SUMIFS('[7]TABLO-1'!S4:S32873,'[7]TABLO-1'!H4:H32873,"=Dağıtım-AG",'[7]TABLO-1'!K4:K32873,"=Bildirimsiz",'[7]TABLO-1'!I4:I32873,"=Kısa",'[7]TABLO-1'!D4:D32873,"=VİZE")/P8</f>
        <v>0</v>
      </c>
      <c r="J58" s="10">
        <f>SUMIFS('[7]TABLO-1'!T4:T32873,'[7]TABLO-1'!H4:H32873,"=Dağıtım-AG",'[7]TABLO-1'!K4:K32873,"=Bildirimsiz",'[7]TABLO-1'!I4:I32873,"=Kısa",'[7]TABLO-1'!D4:D32873,"=VİZE")/P14</f>
        <v>3.999529467121515E-3</v>
      </c>
      <c r="K58" s="10">
        <f>IFERROR((((I58*$P$8)+(J58*$P$14))/$P$23),"0,00")</f>
        <v>3.9434006031083277E-3</v>
      </c>
      <c r="L58" s="11">
        <f>IFERROR((((E58*$P$17)+(H58*$P$20)+(K58*$P$23))/$P$26),"0,00")</f>
        <v>2.5677237129284889E-3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0.14084507042253522</v>
      </c>
      <c r="G59" s="10">
        <f t="shared" si="20"/>
        <v>8.6820226250511112E-2</v>
      </c>
      <c r="H59" s="10">
        <f t="shared" si="20"/>
        <v>8.7080366225839256E-2</v>
      </c>
      <c r="I59" s="10">
        <f t="shared" si="20"/>
        <v>1.0082644628099173</v>
      </c>
      <c r="J59" s="10">
        <f t="shared" si="20"/>
        <v>0.47123867780261147</v>
      </c>
      <c r="K59" s="10">
        <f t="shared" si="20"/>
        <v>0.47877522616562285</v>
      </c>
      <c r="L59" s="10">
        <f t="shared" si="20"/>
        <v>0.2316086789061497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71</v>
      </c>
      <c r="G65" s="27">
        <f>P13</f>
        <v>14674</v>
      </c>
      <c r="H65" s="17">
        <f>SUM(F65:G65)</f>
        <v>14745</v>
      </c>
      <c r="I65" s="17">
        <f>P8</f>
        <v>121</v>
      </c>
      <c r="J65" s="27">
        <f>P14</f>
        <v>8501</v>
      </c>
      <c r="K65" s="17">
        <f>SUM(I65:J65)</f>
        <v>8622</v>
      </c>
      <c r="L65" s="17">
        <f>H65+E65+K65</f>
        <v>23367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Q71"/>
  <sheetViews>
    <sheetView zoomScale="70" zoomScaleNormal="70" workbookViewId="0">
      <selection activeCell="I75" sqref="I7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>
        <f>SUMIFS('[7]TABLO-1'!U4:U32873,'[7]TABLO-1'!H4:H32873,"=İletim",'[7]TABLO-1'!J4:J32873,"=Şebeke İşletmecisi",'[7]TABLO-1'!K4:K32873,"=Bildirimsiz",'[7]TABLO-1'!I4:I32873,"=Uzun",'[7]TABLO-1'!D4:D32873,"=KIRKLARELİMERKEZ")/P6</f>
        <v>0</v>
      </c>
      <c r="E6" s="10">
        <f>SUMIFS('[7]TABLO-1'!V4:V32873,'[7]TABLO-1'!H4:H32873,"=İletim",'[7]TABLO-1'!J4:J32873,"=Şebeke İşletmecisi",'[7]TABLO-1'!K4:K32873,"=Bildirimsiz",'[7]TABLO-1'!I4:I32873,"=Uzun",'[7]TABLO-1'!D4:D32873,"=KIRKLARELİMERKEZ")/P12</f>
        <v>0</v>
      </c>
      <c r="F6" s="10">
        <f>IFERROR((((D6*$P$6)+(E6*$P$12))/$P$17),"0,00")</f>
        <v>0</v>
      </c>
      <c r="G6" s="10">
        <f>SUMIFS('[7]TABLO-1'!W4:W32873,'[7]TABLO-1'!H4:H32873,"=İletim",'[7]TABLO-1'!J4:J32873,"=Şebeke İşletmecisi",'[7]TABLO-1'!K4:K32873,"=Bildirimsiz",'[7]TABLO-1'!I4:I32873,"=Uzun",'[7]TABLO-1'!D4:D32873,"=KIRKLARELİMERKEZ")/P7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İşletmecisi",'[7]TABLO-1'!K4:K32873,"=Bildirimsiz",'[7]TABLO-1'!I4:I32873,"=Uzun",'[7]TABLO-1'!D4:D32873,"=KIRKLARELİMERKEZ")/P13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İşletmecisi",'[7]TABLO-1'!K4:K32873,"=Bildirimsiz",'[7]TABLO-1'!I4:I32873,"=Uzun",'[7]TABLO-1'!D4:D32873,"=KIRKLARELİMERKEZ")/P8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İşletmecisi",'[7]TABLO-1'!K4:K32873,"=Bildirimsiz",'[7]TABLO-1'!I4:I32873,"=Uzun",'[7]TABLO-1'!D4:D32873,"=KIRKLARELİMERKEZ")/P14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208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>
        <f>SUMIFS('[7]TABLO-1'!U4:U32873,'[7]TABLO-1'!H4:H32873,"=İletim",'[7]TABLO-1'!J4:J32873,"=Mücbir Sebep",'[7]TABLO-1'!K4:K32873,"=Bildirimsiz",'[7]TABLO-1'!I4:I32873,"=Uzun",'[7]TABLO-1'!D4:D32873,"=KIRKLARELİMERKEZ")/P6</f>
        <v>0</v>
      </c>
      <c r="E7" s="10">
        <f>SUMIFS('[7]TABLO-1'!V4:V32873,'[7]TABLO-1'!H4:H32873,"=İletim",'[7]TABLO-1'!J4:J32873,"=Mücbir Sebep",'[7]TABLO-1'!K4:K32873,"=Bildirimsiz",'[7]TABLO-1'!I4:I32873,"=Uzun",'[7]TABLO-1'!D4:D32873,"=KIRKLARELİMERKEZ")/P12</f>
        <v>0</v>
      </c>
      <c r="F7" s="10">
        <f t="shared" ref="F7:F15" si="0">IFERROR((((D7*$P$6)+(E7*$P$12))/$P$17),"0,00")</f>
        <v>0</v>
      </c>
      <c r="G7" s="10">
        <f>SUMIFS('[7]TABLO-1'!W4:W32873,'[7]TABLO-1'!H4:H32873,"=İletim",'[7]TABLO-1'!J4:J32873,"=Mücbir Sebep",'[7]TABLO-1'!K4:K32873,"=Bildirimsiz",'[7]TABLO-1'!I4:I32873,"=Uzun",'[7]TABLO-1'!D4:D32873,"=KIRKLARELİMERKEZ")/P7</f>
        <v>0</v>
      </c>
      <c r="H7" s="10">
        <f>SUMIFS('[7]TABLO-1'!X4:X32873,'[7]TABLO-1'!H4:H32873,"=İletim",'[7]TABLO-1'!J4:J32873,"=Mücbir Sebep",'[7]TABLO-1'!K4:K32873,"=Bildirimsiz",'[7]TABLO-1'!I4:I32873,"=Uzun",'[7]TABLO-1'!D4:D32873,"=KIRKLARELİMERKEZ")/P13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Sebep",'[7]TABLO-1'!K4:K32873,"=Bildirimsiz",'[7]TABLO-1'!I4:I32873,"=Uzun",'[7]TABLO-1'!D4:D32873,"=KIRKLARELİMERKEZ")/P8</f>
        <v>0</v>
      </c>
      <c r="K7" s="10">
        <f>SUMIFS('[7]TABLO-1'!Z4:Z32873,'[7]TABLO-1'!H4:H32873,"=İletim",'[7]TABLO-1'!J4:J32873,"=Mücbir Sebep",'[7]TABLO-1'!K4:K32873,"=Bildirimsiz",'[7]TABLO-1'!I4:I32873,"=Uzun",'[7]TABLO-1'!D4:D32873,"=KIRKLARELİMERKEZ")/P14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54</v>
      </c>
      <c r="Q7" s="53"/>
    </row>
    <row r="8" spans="1:17" ht="15" customHeight="1" thickBot="1" x14ac:dyDescent="0.3">
      <c r="B8" s="30" t="s">
        <v>16</v>
      </c>
      <c r="C8" s="3" t="s">
        <v>4</v>
      </c>
      <c r="D8" s="10">
        <f>SUMIFS('[7]TABLO-1'!U4:U32873,'[7]TABLO-1'!H4:H32873,"=Dağıtım-OG",'[7]TABLO-1'!J4:J32873,"=Şebeke İşletmecisi",'[7]TABLO-1'!K4:K32873,"=Bildirimsiz",'[7]TABLO-1'!I4:I32873,"=Uzun",'[7]TABLO-1'!D4:D32873,"=KIRKLARELİMERKEZ")/P6</f>
        <v>56.405288460362222</v>
      </c>
      <c r="E8" s="10">
        <f>SUMIFS('[7]TABLO-1'!V4:V32873,'[7]TABLO-1'!H4:H32873,"=Dağıtım-OG",'[7]TABLO-1'!J4:J32873,"=Şebeke İşletmecisi",'[7]TABLO-1'!K4:K32873,"=Bildirimsiz",'[7]TABLO-1'!I4:I32873,"=Uzun",'[7]TABLO-1'!D4:D32873,"=KIRKLARELİMERKEZ")/P12</f>
        <v>40.434321454071387</v>
      </c>
      <c r="F8" s="10">
        <f t="shared" si="0"/>
        <v>40.492055532475746</v>
      </c>
      <c r="G8" s="10">
        <f>SUMIFS('[7]TABLO-1'!W4:W32873,'[7]TABLO-1'!H4:H32873,"=Dağıtım-OG",'[7]TABLO-1'!J4:J32873,"=Şebeke İşletmecisi",'[7]TABLO-1'!K4:K32873,"=Bildirimsiz",'[7]TABLO-1'!I4:I32873,"=Uzun",'[7]TABLO-1'!D4:D32873,"=KIRKLARELİMERKEZ")/P7</f>
        <v>338.1401234578031</v>
      </c>
      <c r="H8" s="10">
        <f>SUMIFS('[7]TABLO-1'!X4:X32873,'[7]TABLO-1'!H4:H32873,"=Dağıtım-OG",'[7]TABLO-1'!J4:J32873,"=Şebeke İşletmecisi",'[7]TABLO-1'!K4:K32873,"=Bildirimsiz",'[7]TABLO-1'!I4:I32873,"=Uzun",'[7]TABLO-1'!D4:D32873,"=KIRKLARELİMERKEZ")/P13</f>
        <v>104.26060917095336</v>
      </c>
      <c r="I8" s="10">
        <f t="shared" si="1"/>
        <v>108.50439068019055</v>
      </c>
      <c r="J8" s="10">
        <f>SUMIFS('[7]TABLO-1'!Y4:Y32873,'[7]TABLO-1'!H4:H32873,"=Dağıtım-OG",'[7]TABLO-1'!J4:J32873,"=Şebeke İşletmecisi",'[7]TABLO-1'!K4:K32873,"=Bildirimsiz",'[7]TABLO-1'!I4:I32873,"=Uzun",'[7]TABLO-1'!D4:D32873,"=KIRKLARELİMERKEZ")/P8</f>
        <v>181.01282420641306</v>
      </c>
      <c r="K8" s="10">
        <f>SUMIFS('[7]TABLO-1'!Z4:Z32873,'[7]TABLO-1'!H4:H32873,"=Dağıtım-OG",'[7]TABLO-1'!J4:J32873,"=Şebeke İşletmecisi",'[7]TABLO-1'!K4:K32873,"=Bildirimsiz",'[7]TABLO-1'!I4:I32873,"=Uzun",'[7]TABLO-1'!D4:D32873,"=KIRKLARELİMERKEZ")/P14</f>
        <v>258.36638653321523</v>
      </c>
      <c r="L8" s="10">
        <f t="shared" si="2"/>
        <v>256.19560722651079</v>
      </c>
      <c r="M8" s="11">
        <f t="shared" si="3"/>
        <v>79.866083058495818</v>
      </c>
      <c r="O8" s="20" t="s">
        <v>36</v>
      </c>
      <c r="P8" s="53">
        <v>347</v>
      </c>
      <c r="Q8" s="53"/>
    </row>
    <row r="9" spans="1:17" ht="15" customHeight="1" thickBot="1" x14ac:dyDescent="0.3">
      <c r="B9" s="30" t="s">
        <v>16</v>
      </c>
      <c r="C9" s="3" t="s">
        <v>3</v>
      </c>
      <c r="D9" s="10">
        <f>SUMIFS('[7]TABLO-1'!U4:U32873,'[7]TABLO-1'!H4:H32873,"=Dağıtım-OG",'[7]TABLO-1'!J4:J32873,"=Dışsal",'[7]TABLO-1'!K4:K32873,"=Bildirimsiz",'[7]TABLO-1'!I4:I32873,"=Uzun",'[7]TABLO-1'!D4:D32873,"=KIRKLARELİMERKEZ")/P6</f>
        <v>0.88517628204359566</v>
      </c>
      <c r="E9" s="10">
        <f>SUMIFS('[7]TABLO-1'!V4:V32873,'[7]TABLO-1'!H4:H32873,"=Dağıtım-OG",'[7]TABLO-1'!J4:J32873,"=Dışsal",'[7]TABLO-1'!K4:K32873,"=Bildirimsiz",'[7]TABLO-1'!I4:I32873,"=Uzun",'[7]TABLO-1'!D4:D32873,"=KIRKLARELİMERKEZ")/P12</f>
        <v>5.4498610408089903</v>
      </c>
      <c r="F9" s="10">
        <f t="shared" si="0"/>
        <v>5.4333599818781222</v>
      </c>
      <c r="G9" s="10">
        <f>SUMIFS('[7]TABLO-1'!W4:W32873,'[7]TABLO-1'!H4:H32873,"=Dağıtım-OG",'[7]TABLO-1'!J4:J32873,"=Dışsal",'[7]TABLO-1'!K4:K32873,"=Bildirimsiz",'[7]TABLO-1'!I4:I32873,"=Uzun",'[7]TABLO-1'!D4:D32873,"=KIRKLARELİMERKEZ")/P7</f>
        <v>0</v>
      </c>
      <c r="H9" s="10">
        <f>SUMIFS('[7]TABLO-1'!X4:X32873,'[7]TABLO-1'!H4:H32873,"=Dağıtım-OG",'[7]TABLO-1'!J4:J32873,"=Dışsal",'[7]TABLO-1'!K4:K32873,"=Bildirimsiz",'[7]TABLO-1'!I4:I32873,"=Uzun",'[7]TABLO-1'!D4:D32873,"=KIRKLARELİMERKEZ")/P13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SUMIFS('[7]TABLO-1'!Y4:Y32873,'[7]TABLO-1'!H4:H32873,"=Dağıtım-OG",'[7]TABLO-1'!J4:J32873,"=Dışsal",'[7]TABLO-1'!K4:K32873,"=Bildirimsiz",'[7]TABLO-1'!I4:I32873,"=Uzun",'[7]TABLO-1'!D4:D32873,"=KIRKLARELİMERKEZ")/P8</f>
        <v>3.1366954850548239</v>
      </c>
      <c r="K9" s="10">
        <f>SUMIFS('[7]TABLO-1'!Z4:Z32873,'[7]TABLO-1'!H4:H32873,"=Dağıtım-OG",'[7]TABLO-1'!J4:J32873,"=Dışsal",'[7]TABLO-1'!K4:K32873,"=Bildirimsiz",'[7]TABLO-1'!I4:I32873,"=Uzun",'[7]TABLO-1'!D4:D32873,"=KIRKLARELİMERKEZ")/P14</f>
        <v>0.12256060353807149</v>
      </c>
      <c r="L9" s="10">
        <f t="shared" si="2"/>
        <v>0.20714651570032891</v>
      </c>
      <c r="M9" s="11">
        <f t="shared" si="3"/>
        <v>4.3248005853995588</v>
      </c>
      <c r="O9" s="20" t="s">
        <v>17</v>
      </c>
      <c r="P9" s="53">
        <f>P6+P7+P8</f>
        <v>609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>
        <f>SUMIFS('[7]TABLO-1'!U4:U32873,'[7]TABLO-1'!H4:H32873,"=Dağıtım-OG",'[7]TABLO-1'!J4:J32873,"=Mücbir Sebep",'[7]TABLO-1'!K4:K32873,"=Bildirimsiz",'[7]TABLO-1'!I4:I32873,"=Uzun",'[7]TABLO-1'!D4:D32873,"=KIRKLARELİMERKEZ")/P6</f>
        <v>0</v>
      </c>
      <c r="E10" s="10">
        <f>SUMIFS('[7]TABLO-1'!V4:V32873,'[7]TABLO-1'!H4:H32873,"=Dağıtım-OG",'[7]TABLO-1'!J4:J32873,"=Mücbir Sebep",'[7]TABLO-1'!K4:K32873,"=Bildirimsiz",'[7]TABLO-1'!I4:I32873,"=Uzun",'[7]TABLO-1'!D4:D32873,"=KIRKLARELİMERKEZ")/P12</f>
        <v>0</v>
      </c>
      <c r="F10" s="10">
        <f t="shared" si="0"/>
        <v>0</v>
      </c>
      <c r="G10" s="10">
        <f>SUMIFS('[7]TABLO-1'!W4:W32873,'[7]TABLO-1'!H4:H32873,"=Dağıtım-OG",'[7]TABLO-1'!J4:J32873,"=Mücbir Sebep",'[7]TABLO-1'!K4:K32873,"=Bildirimsiz",'[7]TABLO-1'!I4:I32873,"=Uzun",'[7]TABLO-1'!D4:D32873,"=KIRKLARELİMERKEZ")/P7</f>
        <v>0</v>
      </c>
      <c r="H10" s="10">
        <f>SUMIFS('[7]TABLO-1'!X4:X32873,'[7]TABLO-1'!H4:H32873,"=Dağıtım-OG",'[7]TABLO-1'!J4:J32873,"=Mücbir Sebep",'[7]TABLO-1'!K4:K32873,"=Bildirimsiz",'[7]TABLO-1'!I4:I32873,"=Uzun",'[7]TABLO-1'!D4:D32873,"=KIRKLARELİMERKEZ")/P13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Sebep",'[7]TABLO-1'!K4:K32873,"=Bildirimsiz",'[7]TABLO-1'!I4:I32873,"=Uzun",'[7]TABLO-1'!D4:D32873,"=KIRKLARELİMERKEZ")/P8</f>
        <v>0</v>
      </c>
      <c r="K10" s="10">
        <f>SUMIFS('[7]TABLO-1'!Z4:Z32873,'[7]TABLO-1'!H4:H32873,"=Dağıtım-OG",'[7]TABLO-1'!J4:J32873,"=Mücbir Sebep",'[7]TABLO-1'!K4:K32873,"=Bildirimsiz",'[7]TABLO-1'!I4:I32873,"=Uzun",'[7]TABLO-1'!D4:D32873,"=KIRKLARELİMERKEZ")/P14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>
        <f>SUMIFS('[7]TABLO-1'!U4:U32873,'[7]TABLO-1'!H4:H32873,"=Dağıtım-OG",'[7]TABLO-1'!J4:J32873,"=Güvenlik",'[7]TABLO-1'!K4:K32873,"=Bildirimsiz",'[7]TABLO-1'!I4:I32873,"=Uzun",'[7]TABLO-1'!D4:D32873,"=KIRKLARELİMERKEZ")/P6</f>
        <v>0</v>
      </c>
      <c r="E11" s="10">
        <f>SUMIFS('[7]TABLO-1'!V4:V32873,'[7]TABLO-1'!H4:H32873,"=Dağıtım-OG",'[7]TABLO-1'!J4:J32873,"=Güvenlik",'[7]TABLO-1'!K4:K32873,"=Bildirimsiz",'[7]TABLO-1'!I4:I32873,"=Uzun",'[7]TABLO-1'!D4:D32873,"=KIRKLARELİMERKEZ")/P12</f>
        <v>0</v>
      </c>
      <c r="F11" s="10">
        <f t="shared" si="0"/>
        <v>0</v>
      </c>
      <c r="G11" s="10">
        <f>SUMIFS('[7]TABLO-1'!W4:W32873,'[7]TABLO-1'!H4:H32873,"=Dağıtım-OG",'[7]TABLO-1'!J4:J32873,"=Güvenlik",'[7]TABLO-1'!K4:K32873,"=Bildirimsiz",'[7]TABLO-1'!I4:I32873,"=Uzun",'[7]TABLO-1'!D4:D32873,"=KIRKLARELİMERKEZ")/P7</f>
        <v>0</v>
      </c>
      <c r="H11" s="10">
        <f>SUMIFS('[7]TABLO-1'!X4:X32873,'[7]TABLO-1'!H4:H32873,"=Dağıtım-OG",'[7]TABLO-1'!J4:J32873,"=Güvenlik",'[7]TABLO-1'!K4:K32873,"=Bildirimsiz",'[7]TABLO-1'!I4:I32873,"=Uzun",'[7]TABLO-1'!D4:D32873,"=KIRKLARELİMERKEZ")/P13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SUMIFS('[7]TABLO-1'!Y4:Y32873,'[7]TABLO-1'!H4:H32873,"=Dağıtım-OG",'[7]TABLO-1'!J4:J32873,"=Güvenlik",'[7]TABLO-1'!K4:K32873,"=Bildirimsiz",'[7]TABLO-1'!I4:I32873,"=Uzun",'[7]TABLO-1'!D4:D32873,"=KIRKLARELİMERKEZ")/P8</f>
        <v>0</v>
      </c>
      <c r="K11" s="10">
        <f>SUMIFS('[7]TABLO-1'!Z4:Z32873,'[7]TABLO-1'!H4:H32873,"=Dağıtım-OG",'[7]TABLO-1'!J4:J32873,"=Güvenlik",'[7]TABLO-1'!K4:K32873,"=Bildirimsiz",'[7]TABLO-1'!I4:I32873,"=Uzun",'[7]TABLO-1'!D4:D32873,"=KIRKLARELİMERKEZ")/P14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>
        <f>SUMIFS('[7]TABLO-1'!U4:U32873,'[7]TABLO-1'!H4:H32873,"=Dağıtım-AG",'[7]TABLO-1'!J4:J32873,"=Şebeke İşletmecisi",'[7]TABLO-1'!K4:K32873,"=Bildirimsiz",'[7]TABLO-1'!I4:I32873,"=Uzun",'[7]TABLO-1'!D4:D32873,"=KIRKLARELİMERKEZ")/P6</f>
        <v>0</v>
      </c>
      <c r="E12" s="10">
        <f>SUMIFS('[7]TABLO-1'!V4:V32873,'[7]TABLO-1'!H4:H32873,"=Dağıtım-AG",'[7]TABLO-1'!J4:J32873,"=Şebeke işletmecisi",'[7]TABLO-1'!K4:K32873,"=Bildirimsiz",'[7]TABLO-1'!I4:I32873,"=Uzun",'[7]TABLO-1'!D4:D32873,"=KIRKLARELİMERKEZ")/P12</f>
        <v>4.3578404353924149</v>
      </c>
      <c r="F12" s="10">
        <f t="shared" si="0"/>
        <v>4.3420871061624737</v>
      </c>
      <c r="G12" s="12">
        <f>SUMIFS('[7]TABLO-1'!W4:W32873,'[7]TABLO-1'!H4:H32873,"=Dağıtım-AG",'[7]TABLO-1'!J4:J32873,"=Şebeke İşletmecisi",'[7]TABLO-1'!K4:K32873,"=Bildirimsiz",'[7]TABLO-1'!I4:I32873,"=Uzun",'[7]TABLO-1'!D4:D32873,"=KIRKLARELİMERKEZ")/P7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İşletmecisi",'[7]TABLO-1'!K4:K32873,"=Bildirimsiz",'[7]TABLO-1'!I4:I32873,"=Uzun",'[7]TABLO-1'!D4:D32873,"=KIRKLARELİMERKEZ")/P13</f>
        <v>0.65707848481193287</v>
      </c>
      <c r="I12" s="10">
        <f t="shared" si="1"/>
        <v>0.64515568972461956</v>
      </c>
      <c r="J12" s="12">
        <f>SUMIFS('[7]TABLO-1'!Y4:Y32873,'[7]TABLO-1'!H4:H32873,"=Dağıtım-AG",'[7]TABLO-1'!J4:J32873,"=Şebeke İşletmecisi",'[7]TABLO-1'!K4:K32873,"=Bildirimsiz",'[7]TABLO-1'!I4:I32873,"=Uzun",'[7]TABLO-1'!D4:D32873,"=KIRKLARELİMERKEZ")/P8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İşletmecisi",'[7]TABLO-1'!K4:K32873,"=Bildirimsiz",'[7]TABLO-1'!I4:I32873,"=Uzun",'[7]TABLO-1'!D4:D32873,"=KIRKLARELİMERKEZ")/P14</f>
        <v>11.242315693117883</v>
      </c>
      <c r="L12" s="10">
        <f t="shared" si="2"/>
        <v>10.926821674071226</v>
      </c>
      <c r="M12" s="11">
        <f t="shared" si="3"/>
        <v>5.3083079491492011</v>
      </c>
      <c r="O12" s="6" t="s">
        <v>33</v>
      </c>
      <c r="P12" s="42">
        <v>57331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>
        <f>SUMIFS('[7]TABLO-1'!U4:U32873,'[7]TABLO-1'!H4:H32873,"=Dağıtım-AG",'[7]TABLO-1'!J4:J32873,"=Dışsal",'[7]TABLO-1'!K4:K32873,"=Bildirimsiz",'[7]TABLO-1'!I4:I32873,"=Uzun",'[7]TABLO-1'!D4:D32873,"=KIRKLARELİMERKEZ")/P6</f>
        <v>0</v>
      </c>
      <c r="E13" s="10">
        <f>SUMIFS('[7]TABLO-1'!V4:V32873,'[7]TABLO-1'!H4:H32873,"=Dağıtım-AG",'[7]TABLO-1'!J4:J32873,"=Dışsal",'[7]TABLO-1'!K4:K32873,"=Bildirimsiz",'[7]TABLO-1'!I4:I32873,"=Uzun",'[7]TABLO-1'!D4:D32873,"=KIRKLARELİMERKEZ")/P12</f>
        <v>0</v>
      </c>
      <c r="F13" s="10">
        <f t="shared" si="0"/>
        <v>0</v>
      </c>
      <c r="G13" s="12">
        <f>SUMIFS('[7]TABLO-1'!W4:W32873,'[7]TABLO-1'!H4:H32873,"=Dağıtım-AG",'[7]TABLO-1'!J4:J32873,"=Dışsal",'[7]TABLO-1'!K4:K32873,"=Bildirimsiz",'[7]TABLO-1'!I4:I32873,"=Uzun",'[7]TABLO-1'!D4:D32873,"=KIRKLARELİMERKEZ")/P7</f>
        <v>0</v>
      </c>
      <c r="H13" s="10">
        <f>SUMIFS('[7]TABLO-1'!X4:X32873,'[7]TABLO-1'!H4:H32873,"=Dağıtım-AG",'[7]TABLO-1'!J4:J32873,"=Dışsal",'[7]TABLO-1'!K4:K32873,"=Bildirimsiz",'[7]TABLO-1'!I4:I32873,"=Uzun",'[7]TABLO-1'!D4:D32873,"=KIRKLARELİMERKEZ")/P13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SUMIFS('[7]TABLO-1'!Y4:Y32873,'[7]TABLO-1'!H4:H32873,"=Dağıtım-AG",'[7]TABLO-1'!J4:J32873,"=Dışsal",'[7]TABLO-1'!K4:K32873,"=Bildirimsiz",'[7]TABLO-1'!I4:I32873,"=Uzun",'[7]TABLO-1'!D4:D32873,"=KIRKLARELİMERKEZ")/P8</f>
        <v>0</v>
      </c>
      <c r="K13" s="10">
        <f>SUMIFS('[7]TABLO-1'!Z4:Z32873,'[7]TABLO-1'!H4:H32873,"=Dağıtım-AG",'[7]TABLO-1'!J4:J32873,"=Dışsal",'[7]TABLO-1'!K4:K32873,"=Bildirimsiz",'[7]TABLO-1'!I4:I32873,"=Uzun",'[7]TABLO-1'!D4:D32873,"=KIRKLARELİMERKEZ")/P14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2922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>
        <f>SUMIFS('[7]TABLO-1'!U4:U32873,'[7]TABLO-1'!H4:H32873,"=Dağıtım-AG",'[7]TABLO-1'!J4:J32873,"=Mücbir Sebep",'[7]TABLO-1'!K4:K32873,"=Bildirimsiz",'[7]TABLO-1'!I4:I32873,"=Uzun",'[7]TABLO-1'!D4:D32873,"=KIRKLARELİMERKEZ")/P6</f>
        <v>0</v>
      </c>
      <c r="E14" s="10">
        <f>SUMIFS('[7]TABLO-1'!V4:V32873,'[7]TABLO-1'!H4:H32873,"=Dağıtım-AG",'[7]TABLO-1'!J4:J32873,"=Mücbir Sebep",'[7]TABLO-1'!K4:K32873,"=Bildirimsiz",'[7]TABLO-1'!I4:I32873,"=Uzun",'[7]TABLO-1'!D4:D32873,"=KIRKLARELİMERKEZ")/P12</f>
        <v>0</v>
      </c>
      <c r="F14" s="10">
        <f t="shared" si="0"/>
        <v>0</v>
      </c>
      <c r="G14" s="12">
        <f>SUMIFS('[7]TABLO-1'!W4:W32873,'[7]TABLO-1'!H4:H32873,"=Dağıtım-AG",'[7]TABLO-1'!J4:J32873,"=Mücbir Sebep",'[7]TABLO-1'!K4:K32873,"=Bildirimsiz",'[7]TABLO-1'!I4:I32873,"=Uzun",'[7]TABLO-1'!D4:D32873,"=KIRKLARELİMERKEZ")/P7</f>
        <v>0</v>
      </c>
      <c r="H14" s="10">
        <f>SUMIFS('[7]TABLO-1'!X4:X32873,'[7]TABLO-1'!H4:H32873,"=Dağıtım-AG",'[7]TABLO-1'!J4:J32873,"=Mücbir Sebep",'[7]TABLO-1'!K4:K32873,"=Bildirimsiz",'[7]TABLO-1'!I4:I32873,"=Uzun",'[7]TABLO-1'!D4:D32873,"=KIRKLARELİMERKEZ")/P13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Sebep",'[7]TABLO-1'!K4:K32873,"=Bildirimsiz",'[7]TABLO-1'!I4:I32873,"=Uzun",'[7]TABLO-1'!D4:D32873,"=KIRKLARELİMERKEZ")/P8</f>
        <v>0</v>
      </c>
      <c r="K14" s="10">
        <f>SUMIFS('[7]TABLO-1'!Z4:Z32873,'[7]TABLO-1'!H4:H32873,"=Dağıtım-AG",'[7]TABLO-1'!J4:J32873,"=Mücbir Sebep",'[7]TABLO-1'!K4:K32873,"=Bildirimsiz",'[7]TABLO-1'!I4:I32873,"=Uzun",'[7]TABLO-1'!D4:D32873,"=KIRKLARELİMERKEZ")/P14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12018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>
        <f>SUMIFS('[7]TABLO-1'!U4:U32873,'[7]TABLO-1'!H4:H32873,"=Dağıtım-AG",'[7]TABLO-1'!J4:J32873,"=Güvenlik",'[7]TABLO-1'!K4:K32873,"=Bildirimsiz",'[7]TABLO-1'!I4:I32873,"=Uzun",'[7]TABLO-1'!D4:D32873,"=KIRKLARELİMERKEZ")/P6</f>
        <v>0</v>
      </c>
      <c r="E15" s="10">
        <f>SUMIFS('[7]TABLO-1'!V4:V32873,'[7]TABLO-1'!H4:H32873,"=Dağıtım-AG",'[7]TABLO-1'!J4:J32873,"=Güvenlik",'[7]TABLO-1'!K4:K32873,"=Bildirimsiz",'[7]TABLO-1'!I4:I32873,"=Uzun",'[7]TABLO-1'!D4:D32873,"=KIRKLARELİMERKEZ")/P12</f>
        <v>0</v>
      </c>
      <c r="F15" s="10">
        <f t="shared" si="0"/>
        <v>0</v>
      </c>
      <c r="G15" s="12">
        <f>SUMIFS('[7]TABLO-1'!W4:W32873,'[7]TABLO-1'!H4:H32873,"=Dağıtım-AG",'[7]TABLO-1'!J4:J32873,"=Güvenlik",'[7]TABLO-1'!K4:K32873,"=Bildirimsiz",'[7]TABLO-1'!I4:I32873,"=Uzun",'[7]TABLO-1'!D4:D32873,"=KIRKLARELİMERKEZ")/P7</f>
        <v>0</v>
      </c>
      <c r="H15" s="10">
        <f>SUMIFS('[7]TABLO-1'!X4:X32873,'[7]TABLO-1'!H4:H32873,"=Dağıtım-AG",'[7]TABLO-1'!J4:J32873,"=Güvenlik",'[7]TABLO-1'!K4:K32873,"=Bildirimsiz",'[7]TABLO-1'!I4:I32873,"=Uzun",'[7]TABLO-1'!D4:D32873,"=KIRKLARELİMERKEZ")/P13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SUMIFS('[7]TABLO-1'!Y4:Y32873,'[7]TABLO-1'!H4:H32873,"=Dağıtım-AG",'[7]TABLO-1'!J4:J32873,"=Güvenlik",'[7]TABLO-1'!K4:K32873,"=Bildirimsiz",'[7]TABLO-1'!I4:I32873,"=Uzun",'[7]TABLO-1'!D4:D32873,"=KIRKLARELİMERKEZ")/P8</f>
        <v>0</v>
      </c>
      <c r="K15" s="10">
        <f>SUMIFS('[7]TABLO-1'!Z4:Z32873,'[7]TABLO-1'!H4:H32873,"=Dağıtım-AG",'[7]TABLO-1'!J4:J32873,"=Güvenlik",'[7]TABLO-1'!K4:K32873,"=Bildirimsiz",'[7]TABLO-1'!I4:I32873,"=Uzun",'[7]TABLO-1'!D4:D32873,"=KIRKLARELİMERKEZ")/P14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72271</v>
      </c>
      <c r="Q15" s="42"/>
    </row>
    <row r="16" spans="1:17" ht="15" customHeight="1" thickBot="1" x14ac:dyDescent="0.3">
      <c r="B16" s="60" t="s">
        <v>20</v>
      </c>
      <c r="C16" s="61"/>
      <c r="D16" s="10">
        <f t="shared" ref="D16:M16" si="4">SUM(D6:D15)</f>
        <v>57.290464742405817</v>
      </c>
      <c r="E16" s="10">
        <f t="shared" si="4"/>
        <v>50.242022930272796</v>
      </c>
      <c r="F16" s="10">
        <f t="shared" si="4"/>
        <v>50.267502620516339</v>
      </c>
      <c r="G16" s="10">
        <f t="shared" si="4"/>
        <v>338.1401234578031</v>
      </c>
      <c r="H16" s="10">
        <f t="shared" si="4"/>
        <v>104.91768765576529</v>
      </c>
      <c r="I16" s="10">
        <f t="shared" si="4"/>
        <v>109.14954636991517</v>
      </c>
      <c r="J16" s="10">
        <f>SUM(J6:J15)</f>
        <v>184.14951969146787</v>
      </c>
      <c r="K16" s="10">
        <f>SUM(K6:K15)</f>
        <v>269.73126282987118</v>
      </c>
      <c r="L16" s="10">
        <f>SUM(L6:L15)</f>
        <v>267.32957541628235</v>
      </c>
      <c r="M16" s="11">
        <f t="shared" si="4"/>
        <v>89.499191593044571</v>
      </c>
    </row>
    <row r="17" spans="2:16" ht="15" customHeight="1" x14ac:dyDescent="0.25">
      <c r="B17" s="29"/>
      <c r="O17" s="50" t="s">
        <v>37</v>
      </c>
      <c r="P17" s="47">
        <f>P6+P12</f>
        <v>57539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2976</v>
      </c>
    </row>
    <row r="21" spans="2:16" ht="15" customHeight="1" thickBot="1" x14ac:dyDescent="0.3">
      <c r="B21" s="30" t="s">
        <v>30</v>
      </c>
      <c r="C21" s="3" t="s">
        <v>4</v>
      </c>
      <c r="D21" s="10">
        <f>SUMIFS('[7]TABLO-1'!U4:U32873,'[7]TABLO-1'!H4:H32873,"=İletim",'[7]TABLO-1'!J4:J32873,"=Şebeke İşletmecisi",'[7]TABLO-1'!K4:K32873,"=Bildirimli",'[7]TABLO-1'!I4:I32873,"=Uzun",'[7]TABLO-1'!D4:D32873,"=KIRKLARELİMERKEZ")/P6</f>
        <v>0</v>
      </c>
      <c r="E21" s="10">
        <f>SUMIFS('[7]TABLO-1'!V4:V32873,'[7]TABLO-1'!H4:H32873,"=İletim",'[7]TABLO-1'!J4:J32873,"=Şebeke İşletmecisi",'[7]TABLO-1'!K4:K32873,"=Bildirimli",'[7]TABLO-1'!I4:I32873,"=Uzun",'[7]TABLO-1'!D4:D32873,"=KIRKLARELİMERKEZ")/P12</f>
        <v>0</v>
      </c>
      <c r="F21" s="10">
        <f>IFERROR((((D21*$P$6)+(E21*$P$12))/$P$17),"0,00")</f>
        <v>0</v>
      </c>
      <c r="G21" s="10">
        <f>SUMIFS('[7]TABLO-1'!W4:W32873,'[7]TABLO-1'!H4:H32873,"=İletim",'[7]TABLO-1'!J4:J32873,"=Şebeke İşletmecisi",'[7]TABLO-1'!K4:K32873,"=Bildirimli",'[7]TABLO-1'!I4:I32873,"=Uzun",'[7]TABLO-1'!D4:D32873,"=KIRKLARELİMERKEZ")/P7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İşletmecisi",'[7]TABLO-1'!K4:K32873,"=Bildirimli",'[7]TABLO-1'!I4:I32873,"=Uzun",'[7]TABLO-1'!D4:D32873,"=KIRKLARELİMERKEZ")/P13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İşletmecisi",'[7]TABLO-1'!K4:K32873,"=Bildirimli",'[7]TABLO-1'!I4:I32873,"=Uzun",'[7]TABLO-1'!D4:D32873,"=KIRKLARELİMERKEZ")/P8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İşletmecisi",'[7]TABLO-1'!K4:K32873,"=Bildirimli",'[7]TABLO-1'!I4:I32873,"=Uzun",'[7]TABLO-1'!D4:D32873,"=KIRKLARELİMERKEZ")/P14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>
        <f>SUMIFS('[7]TABLO-1'!U4:U32873,'[7]TABLO-1'!H4:H32873,"=Dağıtım-OG",'[7]TABLO-1'!J4:J32873,"=Şebeke İşletmecisi",'[7]TABLO-1'!K4:K32873,"=Bildirimli",'[7]TABLO-1'!I4:I32873,"=Uzun",'[7]TABLO-1'!D4:D32873,"=KIRKLARELİMERKEZ")/P6</f>
        <v>9.8899038463143647</v>
      </c>
      <c r="E22" s="10">
        <f>SUMIFS('[7]TABLO-1'!V4:V32873,'[7]TABLO-1'!H4:H32873,"=Dağıtım-OG",'[7]TABLO-1'!J4:J32873,"=Şebeke İşletmecisi",'[7]TABLO-1'!K4:K32873,"=Bildirimli",'[7]TABLO-1'!I4:I32873,"=Uzun",'[7]TABLO-1'!D4:D32873,"=KIRKLARELİMERKEZ")/P12</f>
        <v>56.454080398639704</v>
      </c>
      <c r="F22" s="10">
        <f t="shared" ref="F22:F25" si="5">IFERROR((((D22*$P$6)+(E22*$P$12))/$P$17),"0,00")</f>
        <v>56.28575372068417</v>
      </c>
      <c r="G22" s="10">
        <f>SUMIFS('[7]TABLO-1'!W4:W32873,'[7]TABLO-1'!H4:H32873,"=Dağıtım-OG",'[7]TABLO-1'!J4:J32873,"=Şebeke İşletmecisi",'[7]TABLO-1'!K4:K32873,"=Bildirimli",'[7]TABLO-1'!I4:I32873,"=Uzun",'[7]TABLO-1'!D4:D32873,"=KIRKLARELİMERKEZ")/P7</f>
        <v>34.019444444177985</v>
      </c>
      <c r="H22" s="10">
        <f>SUMIFS('[7]TABLO-1'!X4:X32873,'[7]TABLO-1'!H4:H32873,"=Dağıtım-OG",'[7]TABLO-1'!J4:J32873,"=Şebeke İşletmecisi",'[7]TABLO-1'!K4:K32873,"=Bildirimli",'[7]TABLO-1'!I4:I32873,"=Uzun",'[7]TABLO-1'!D4:D32873,"=KIRKLARELİMERKEZ")/P13</f>
        <v>1.0508669860870434</v>
      </c>
      <c r="I22" s="10">
        <f t="shared" ref="I22:I25" si="6">IFERROR((((G22*$P$7)+(H22*$P$13))/$P$20),"0,00")</f>
        <v>1.6490871415765966</v>
      </c>
      <c r="J22" s="10">
        <f>SUMIFS('[7]TABLO-1'!Y4:Y32873,'[7]TABLO-1'!H4:H32873,"=Dağıtım-OG",'[7]TABLO-1'!J4:J32873,"=Şebeke İşletmecisi",'[7]TABLO-1'!K4:K32873,"=Bildirimli",'[7]TABLO-1'!I4:I32873,"=Uzun",'[7]TABLO-1'!D4:D32873,"=KIRKLARELİMERKEZ")/P8</f>
        <v>3.5329490873535896</v>
      </c>
      <c r="K22" s="10">
        <f>SUMIFS('[7]TABLO-1'!Z4:Z32873,'[7]TABLO-1'!H4:H32873,"=Dağıtım-OG",'[7]TABLO-1'!J4:J32873,"=Şebeke İşletmecisi",'[7]TABLO-1'!K4:K32873,"=Bildirimli",'[7]TABLO-1'!I4:I32873,"=Uzun",'[7]TABLO-1'!D4:D32873,"=KIRKLARELİMERKEZ")/P14</f>
        <v>6.0502815226571149</v>
      </c>
      <c r="L22" s="10">
        <f t="shared" ref="L22:L25" si="7">IFERROR((((J22*$P$8)+(K22*$P$14))/$P$23),"0,00")</f>
        <v>5.9796374179219489</v>
      </c>
      <c r="M22" s="11">
        <f t="shared" ref="M22:M25" si="8">IFERROR((((F22*$P$17)+(I22*$P$20)+(L22*$P$23))/$P$26),"0,00")</f>
        <v>45.519647136942687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>
        <f>SUMIFS('[7]TABLO-1'!U4:U32873,'[7]TABLO-1'!H4:H32873,"=Dağıtım-OG",'[7]TABLO-1'!J4:J32873,"=Güvenlik",'[7]TABLO-1'!K4:K32873,"=Bildirimli",'[7]TABLO-1'!I4:I32873,"=Uzun",'[7]TABLO-1'!D4:D32873,"=KIRKLARELİMERKEZ")/P6</f>
        <v>0</v>
      </c>
      <c r="E23" s="10">
        <f>SUMIFS('[7]TABLO-1'!V4:V32873,'[7]TABLO-1'!H4:H32873,"=Dağıtım-OG",'[7]TABLO-1'!J4:J32873,"=Güvenlik",'[7]TABLO-1'!K4:K32873,"=Bildirimli",'[7]TABLO-1'!I4:I32873,"=Uzun",'[7]TABLO-1'!D4:D32873,"=KIRKLARELİMERKEZ")/P12</f>
        <v>0</v>
      </c>
      <c r="F23" s="10">
        <f t="shared" si="5"/>
        <v>0</v>
      </c>
      <c r="G23" s="10">
        <f>SUMIFS('[7]TABLO-1'!W4:W32873,'[7]TABLO-1'!H4:H32873,"=Dağıtım-OG",'[7]TABLO-1'!J4:J32873,"=Güvenlik",'[7]TABLO-1'!K4:K32873,"=Bildirimli",'[7]TABLO-1'!I4:I32873,"=Uzun",'[7]TABLO-1'!D4:D32873,"=KIRKLARELİMERKEZ")/P7</f>
        <v>0</v>
      </c>
      <c r="H23" s="10">
        <f>SUMIFS('[7]TABLO-1'!X4:X32873,'[7]TABLO-1'!H4:H32873,"=Dağıtım-OG",'[7]TABLO-1'!J4:J32873,"=Güvenlik",'[7]TABLO-1'!K4:K32873,"=Bildirimli",'[7]TABLO-1'!I4:I32873,"=Uzun",'[7]TABLO-1'!D4:D32873,"=KIRKLARELİMERKEZ")/P13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SUMIFS('[7]TABLO-1'!Y4:Y32873,'[7]TABLO-1'!H4:H32873,"=Dağıtım-OG",'[7]TABLO-1'!J4:J32873,"=Güvenlik",'[7]TABLO-1'!K4:K32873,"=Bildirimli",'[7]TABLO-1'!I4:I32873,"=Uzun",'[7]TABLO-1'!D4:D32873,"=KIRKLARELİMERKEZ")/P8</f>
        <v>0</v>
      </c>
      <c r="K23" s="10">
        <f>SUMIFS('[7]TABLO-1'!Z4:Z32873,'[7]TABLO-1'!H4:H32873,"=Dağıtım-OG",'[7]TABLO-1'!J4:J32873,"=Güvenlik",'[7]TABLO-1'!K4:K32873,"=Bildirimli",'[7]TABLO-1'!I4:I32873,"=Uzun",'[7]TABLO-1'!D4:D32873,"=KIRKLARELİMERKEZ")/P14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12365</v>
      </c>
    </row>
    <row r="24" spans="2:16" ht="15" customHeight="1" thickBot="1" x14ac:dyDescent="0.3">
      <c r="B24" s="30" t="s">
        <v>19</v>
      </c>
      <c r="C24" s="3" t="s">
        <v>4</v>
      </c>
      <c r="D24" s="12">
        <f>SUMIFS('[7]TABLO-1'!U4:U32873,'[7]TABLO-1'!H4:H32873,"=Dağıtım-AG",'[7]TABLO-1'!J4:J32873,"=Şebeke İşletmecisi",'[7]TABLO-1'!K4:K32873,"=Bildirimli",'[7]TABLO-1'!I4:I32873,"=Uzun",'[7]TABLO-1'!D4:D32873,"=KIRKLARELİMERKEZ")/P6</f>
        <v>0</v>
      </c>
      <c r="E24" s="10">
        <f>SUMIFS('[7]TABLO-1'!V4:V32873,'[7]TABLO-1'!H4:H32873,"=Dağıtım-AG",'[7]TABLO-1'!J4:J32873,"=Şebeke İşletmecisi",'[7]TABLO-1'!K4:K32873,"=Bildirimli",'[7]TABLO-1'!I4:I32873,"=Uzun",'[7]TABLO-1'!D4:D32873,"=KIRKLARELİMERKEZ")/P12</f>
        <v>2.3952803311676671</v>
      </c>
      <c r="F24" s="10">
        <f t="shared" si="5"/>
        <v>2.3866215378469127</v>
      </c>
      <c r="G24" s="12">
        <f>SUMIFS('[7]TABLO-1'!W4:W32873,'[7]TABLO-1'!H4:H32873,"=Dağıtım-AG",'[7]TABLO-1'!J4:J32873,"=Şebeke İşletmecisi",'[7]TABLO-1'!K4:K32873,"=Bildirimli",'[7]TABLO-1'!I4:I32873,"=Uzun",'[7]TABLO-1'!D4:D32873,"=KIRKLARELİMERKEZ")/P7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İşletmecisi",'[7]TABLO-1'!K4:K32873,"=Bildirimli",'[7]TABLO-1'!I4:I32873,"=Uzun",'[7]TABLO-1'!D4:D32873,"=KIRKLARELİMERKEZ")/P13</f>
        <v>16.904312114638145</v>
      </c>
      <c r="I24" s="10">
        <f t="shared" si="6"/>
        <v>16.59758064481608</v>
      </c>
      <c r="J24" s="12">
        <f>SUMIFS('[7]TABLO-1'!Y4:Y32873,'[7]TABLO-1'!H4:H32873,"=Dağıtım-AG",'[7]TABLO-1'!J4:J32873,"=Şebeke İşletmecisi",'[7]TABLO-1'!K4:K32873,"=Bildirimli",'[7]TABLO-1'!I4:I32873,"=Uzun",'[7]TABLO-1'!D4:D32873,"=KIRKLARELİMERKEZ")/P8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İşletmecisi",'[7]TABLO-1'!K4:K32873,"=Bildirimli",'[7]TABLO-1'!I4:I32873,"=Uzun",'[7]TABLO-1'!D4:D32873,"=KIRKLARELİMERKEZ")/P14</f>
        <v>0.14477034448413528</v>
      </c>
      <c r="L24" s="10">
        <f t="shared" si="7"/>
        <v>0.14070764254026186</v>
      </c>
      <c r="M24" s="11">
        <f t="shared" si="8"/>
        <v>2.5858680936492386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>
        <f>SUMIFS('[7]TABLO-1'!U4:U32873,'[7]TABLO-1'!H4:H32873,"=Dağıtım-AG",'[7]TABLO-1'!J4:J32873,"=Güvenlik",'[7]TABLO-1'!K4:K32873,"=Bildirimli",'[7]TABLO-1'!I4:I32873,"=Uzun",'[7]TABLO-1'!D4:D32873,"=KIRKLARELİMERKEZ")/P6</f>
        <v>0</v>
      </c>
      <c r="E25" s="10">
        <f>SUMIFS('[7]TABLO-1'!V4:V32873,'[7]TABLO-1'!H4:H32873,"=Dağıtım-AG",'[7]TABLO-1'!J4:J32873,"=Güvenlik",'[7]TABLO-1'!K4:K32873,"=Bildirimli",'[7]TABLO-1'!I4:I32873,"=Uzun",'[7]TABLO-1'!D4:D32873,"=KIRKLARELİMERKEZ")/P12</f>
        <v>0</v>
      </c>
      <c r="F25" s="10">
        <f t="shared" si="5"/>
        <v>0</v>
      </c>
      <c r="G25" s="12">
        <f>SUMIFS('[7]TABLO-1'!W4:W32873,'[7]TABLO-1'!H4:H32873,"=Dağıtım-AG",'[7]TABLO-1'!J4:J32873,"=Güvenlik",'[7]TABLO-1'!K4:K32873,"=Bildirimli",'[7]TABLO-1'!I4:I32873,"=Uzun",'[7]TABLO-1'!D4:D32873,"=KIRKLARELİMERKEZ")/P7</f>
        <v>0</v>
      </c>
      <c r="H25" s="10">
        <f>SUMIFS('[7]TABLO-1'!X4:X32873,'[7]TABLO-1'!H4:H32873,"=Dağıtım-AG",'[7]TABLO-1'!J4:J32873,"=Güvenlik",'[7]TABLO-1'!K4:K32873,"=Bildirimli",'[7]TABLO-1'!I4:I32873,"=Uzun",'[7]TABLO-1'!D4:D32873,"=KIRKLARELİMERKEZ")/P13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SUMIFS('[7]TABLO-1'!Y4:Y32873,'[7]TABLO-1'!H4:H32873,"=Dağıtım-AG",'[7]TABLO-1'!J4:J32873,"=Güvenlik",'[7]TABLO-1'!K4:K32873,"=Bildirimli",'[7]TABLO-1'!I4:I32873,"=Uzun",'[7]TABLO-1'!D4:D32873,"=KIRKLARELİMERKEZ")/P8</f>
        <v>0</v>
      </c>
      <c r="K25" s="10">
        <f>SUMIFS('[7]TABLO-1'!Z4:Z32873,'[7]TABLO-1'!H4:H32873,"=Dağıtım-AG",'[7]TABLO-1'!J4:J32873,"=Güvenlik",'[7]TABLO-1'!K4:K32873,"=Bildirimli",'[7]TABLO-1'!I4:I32873,"=Uzun",'[7]TABLO-1'!D4:D32873,"=KIRKLARELİMERKEZ")/P14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>
        <f>SUM(D21:D25)</f>
        <v>9.8899038463143647</v>
      </c>
      <c r="E26" s="10">
        <f t="shared" ref="E26:M26" si="9">SUM(E21:E25)</f>
        <v>58.849360729807373</v>
      </c>
      <c r="F26" s="10">
        <f t="shared" si="9"/>
        <v>58.672375258531083</v>
      </c>
      <c r="G26" s="10">
        <f t="shared" si="9"/>
        <v>34.019444444177985</v>
      </c>
      <c r="H26" s="10">
        <f t="shared" si="9"/>
        <v>17.955179100725189</v>
      </c>
      <c r="I26" s="10">
        <f t="shared" si="9"/>
        <v>18.246667786392678</v>
      </c>
      <c r="J26" s="10">
        <f t="shared" si="9"/>
        <v>3.5329490873535896</v>
      </c>
      <c r="K26" s="10">
        <f t="shared" si="9"/>
        <v>6.1950518671412507</v>
      </c>
      <c r="L26" s="10">
        <f t="shared" si="9"/>
        <v>6.1203450604622107</v>
      </c>
      <c r="M26" s="11">
        <f t="shared" si="9"/>
        <v>48.105515230591926</v>
      </c>
      <c r="O26" s="43" t="s">
        <v>22</v>
      </c>
      <c r="P26" s="44">
        <f>P20+P17+P23</f>
        <v>72880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>
        <f>SUMIFS('[7]TABLO-1'!O4:O32873,'[7]TABLO-1'!H4:H32873,"=İletim",'[7]TABLO-1'!J4:J32873,"=Şebeke İşletmecisi",'[7]TABLO-1'!K4:K32873,"=Bildirimsiz",'[7]TABLO-1'!I4:I32873,"=Uzun",'[7]TABLO-1'!D4:D32873,"=KIRKLARELİMERKEZ")/P6</f>
        <v>0</v>
      </c>
      <c r="E31" s="10">
        <f>SUMIFS('[7]TABLO-1'!P4:P32873,'[7]TABLO-1'!H4:H32873,"=İletim",'[7]TABLO-1'!J4:J32873,"=Şebeke İşletmecisi",'[7]TABLO-1'!K4:K32873,"=Bildirimsiz",'[7]TABLO-1'!I4:I32873,"=Uzun",'[7]TABLO-1'!D4:D32873,"=KIRKLARELİMERKEZ")/P12</f>
        <v>0</v>
      </c>
      <c r="F31" s="10">
        <f>IFERROR((((D31*$P$6)+(E31*$P$12))/$P$17),"0,00")</f>
        <v>0</v>
      </c>
      <c r="G31" s="10">
        <f>SUMIFS('[7]TABLO-1'!Q4:Q32873,'[7]TABLO-1'!H4:H32873,"=İletim",'[7]TABLO-1'!J4:J32873,"=Şebeke İşletmecisi",'[7]TABLO-1'!K4:K32873,"=Bildirimsiz",'[7]TABLO-1'!I4:I32873,"=Uzun",'[7]TABLO-1'!D4:D32873,"=KIRKLARELİMERKEZ")/P7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İşletmecisi",'[7]TABLO-1'!K4:K32873,"=Bildirimsiz",'[7]TABLO-1'!I4:I32873,"=Uzun",'[7]TABLO-1'!D4:D32873,"=KIRKLARELİMERKEZ")/P13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İşletmecisi",'[7]TABLO-1'!K4:K32873,"=Bildirimsiz",'[7]TABLO-1'!I4:I32873,"=Uzun",'[7]TABLO-1'!D4:D32873,"=KIRKLARELİMERKEZ")/P8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İşletmecisi",'[7]TABLO-1'!K4:K32873,"=bildirimsiz",'[7]TABLO-1'!I4:I32873,"=Uzun",'[7]TABLO-1'!D4:D32873,"=KIRKLARELİMERKEZ")/P14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>
        <f>SUMIFS('[7]TABLO-1'!O4:O32873,'[7]TABLO-1'!H4:H32873,"=iletim",'[7]TABLO-1'!J4:J32873,"=Mücbir Sebep",'[7]TABLO-1'!K4:K32873,"=Bildirimsiz",'[7]TABLO-1'!I4:I32873,"=Uzun",'[7]TABLO-1'!D4:D32873,"=KIRKLARELİMERKEZ")/P6</f>
        <v>0</v>
      </c>
      <c r="E32" s="10">
        <f>SUMIFS('[7]TABLO-1'!P4:P32873,'[7]TABLO-1'!H4:H32873,"=İletim",'[7]TABLO-1'!J4:J32873,"=Mücbir Sebep",'[7]TABLO-1'!K4:K32873,"=Bildirimsiz",'[7]TABLO-1'!I4:I32873,"=Uzun",'[7]TABLO-1'!D4:D32873,"=KIRKLARELİMERKEZ")/P12</f>
        <v>0</v>
      </c>
      <c r="F32" s="10">
        <f t="shared" ref="F32:F40" si="10">IFERROR((((D32*$P$6)+(E32*$P$12))/$P$17),"0,00")</f>
        <v>0</v>
      </c>
      <c r="G32" s="10">
        <f>SUMIFS('[7]TABLO-1'!Q4:Q32873,'[7]TABLO-1'!H4:H32873,"=İletim",'[7]TABLO-1'!J4:J32873,"=Mücbir Sebep",'[7]TABLO-1'!K4:K32873,"=Bildirimsiz",'[7]TABLO-1'!I4:I32873,"=Uzun",'[7]TABLO-1'!D4:D32873,"=KIRKLARELİMERKEZ")/P7</f>
        <v>0</v>
      </c>
      <c r="H32" s="10">
        <f>SUMIFS('[7]TABLO-1'!R4:R32873,'[7]TABLO-1'!H4:H32873,"=İletim",'[7]TABLO-1'!J4:J32873,"=Mücbir Sebep",'[7]TABLO-1'!K4:K32873,"=Bildirimsiz",'[7]TABLO-1'!I4:I32873,"=Uzun",'[7]TABLO-1'!D4:D32873,"=KIRKLARELİMERKEZ")/P13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Sebep",'[7]TABLO-1'!K4:K32873,"=Bildirimsiz",'[7]TABLO-1'!I4:I32873,"=Uzun",'[7]TABLO-1'!D4:D32873,"=KIRKLARELİMERKEZ")/P8</f>
        <v>0</v>
      </c>
      <c r="K32" s="10">
        <f>SUMIFS('[7]TABLO-1'!T4:T32873,'[7]TABLO-1'!H4:H32873,"=İletim",'[7]TABLO-1'!J4:J32873,"=Mücbir Sebep",'[7]TABLO-1'!K4:K32873,"=bildirimsiz",'[7]TABLO-1'!I4:I32873,"=Uzun",'[7]TABLO-1'!D4:D32873,"=KIRKLARELİMERKEZ")/P14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>
        <f>SUMIFS('[7]TABLO-1'!O4:O32873,'[7]TABLO-1'!H4:H32873,"=Dağıtım-OG",'[7]TABLO-1'!J4:J32873,"=Şebeke İşletmecisi",'[7]TABLO-1'!K4:K32873,"=Bildirimsiz",'[7]TABLO-1'!I4:I32873,"=Uzun",'[7]TABLO-1'!D4:D32873,"=KIRKLARELİMERKEZ")/P6</f>
        <v>1.8701923076923077</v>
      </c>
      <c r="E33" s="10">
        <f>SUMIFS('[7]TABLO-1'!P4:P32873,'[7]TABLO-1'!H4:H32873,"=Dağıtım-OG",'[7]TABLO-1'!J4:J32873,"=Şebeke İşletmecisi",'[7]TABLO-1'!K4:K32873,"=Bildirimsiz",'[7]TABLO-1'!I4:I32873,"=Uzun",'[7]TABLO-1'!D4:D32873,"=KIRKLARELİMERKEZ")/P12</f>
        <v>1.2246254208020093</v>
      </c>
      <c r="F33" s="10">
        <f t="shared" si="10"/>
        <v>1.2269591059976712</v>
      </c>
      <c r="G33" s="10">
        <f>SUMIFS('[7]TABLO-1'!Q4:Q32873,'[7]TABLO-1'!H4:H32873,"=Dağıtım-OG",'[7]TABLO-1'!J4:J32873,"=Şebeke İşletmecisi",'[7]TABLO-1'!K4:K32873,"=Bildirimsiz",'[7]TABLO-1'!I4:I32873,"=Uzun",'[7]TABLO-1'!D4:D32873,"=KIRKLARELİMERKEZ")/P7</f>
        <v>4.3518518518518521</v>
      </c>
      <c r="H33" s="10">
        <f>SUMIFS('[7]TABLO-1'!R4:R32873,'[7]TABLO-1'!H4:H32873,"=Dağıtım-OG",'[7]TABLO-1'!J4:J32873,"=Şebeke İşletmecisi",'[7]TABLO-1'!K4:K32873,"=Bildirimsiz",'[7]TABLO-1'!I4:I32873,"=Uzun",'[7]TABLO-1'!D4:D32873,"=KIRKLARELİMERKEZ")/P13</f>
        <v>2.5355920602327173</v>
      </c>
      <c r="I33" s="10">
        <f t="shared" si="11"/>
        <v>2.568548387096774</v>
      </c>
      <c r="J33" s="10">
        <f>SUMIFS('[7]TABLO-1'!S4:S32873,'[7]TABLO-1'!H4:H32873,"=Dağıtım-OG",'[7]TABLO-1'!J4:J32873,"=Şebeke İşletmecisi",'[7]TABLO-1'!K4:K32873,"=Bildirimsiz",'[7]TABLO-1'!I4:I32873,"=Uzun",'[7]TABLO-1'!D4:D32873,"=KIRKLARELİMERKEZ")/P8</f>
        <v>3.5561959654178676</v>
      </c>
      <c r="K33" s="10">
        <f>SUMIFS('[7]TABLO-1'!T4:T32873,'[7]TABLO-1'!H4:H32873,"=Dağıtım-OG",'[7]TABLO-1'!J4:J32873,"=Şebeke İşletmecisi",'[7]TABLO-1'!K4:K32873,"=bildirimsiz",'[7]TABLO-1'!I4:I32873,"=Uzun",'[7]TABLO-1'!D4:D32873,"=KIRKLARELİMERKEZ")/P14</f>
        <v>3.8453985688134464</v>
      </c>
      <c r="L33" s="10">
        <f t="shared" si="12"/>
        <v>3.837282652648605</v>
      </c>
      <c r="M33" s="11">
        <f t="shared" si="13"/>
        <v>1.724615806805708</v>
      </c>
    </row>
    <row r="34" spans="2:13" ht="15" customHeight="1" thickBot="1" x14ac:dyDescent="0.3">
      <c r="B34" s="30" t="s">
        <v>16</v>
      </c>
      <c r="C34" s="3" t="s">
        <v>3</v>
      </c>
      <c r="D34" s="10">
        <f>SUMIFS('[7]TABLO-1'!O4:O32873,'[7]TABLO-1'!H4:H32873,"=Dağıtım-OG",'[7]TABLO-1'!J4:J32873,"=Dışsal",'[7]TABLO-1'!K4:K32873,"=Bildirimsiz",'[7]TABLO-1'!I4:I32873,"=Uzun",'[7]TABLO-1'!D4:D32873,"=KIRKLARELİMERKEZ")/P6</f>
        <v>4.807692307692308E-3</v>
      </c>
      <c r="E34" s="10">
        <f>SUMIFS('[7]TABLO-1'!P4:P32873,'[7]TABLO-1'!H4:H32873,"=Dağıtım-OG",'[7]TABLO-1'!J4:J32873,"=Dışsal",'[7]TABLO-1'!K4:K32873,"=Bildirimsiz",'[7]TABLO-1'!I4:I32873,"=Uzun",'[7]TABLO-1'!D4:D32873,"=KIRKLARELİMERKEZ")/P12</f>
        <v>2.9600041862168809E-2</v>
      </c>
      <c r="F34" s="10">
        <f t="shared" si="10"/>
        <v>2.9510419020142859E-2</v>
      </c>
      <c r="G34" s="10">
        <f>SUMIFS('[7]TABLO-1'!Q4:Q32873,'[7]TABLO-1'!H4:H32873,"=Dağıtım-OG",'[7]TABLO-1'!J4:J32873,"=Dışsal",'[7]TABLO-1'!K4:K32873,"=Bildirimsiz",'[7]TABLO-1'!I4:I32873,"=Uzun",'[7]TABLO-1'!D4:D32873,"=KIRKLARELİMERKEZ")/P7</f>
        <v>0</v>
      </c>
      <c r="H34" s="10">
        <f>SUMIFS('[7]TABLO-1'!R4:R32873,'[7]TABLO-1'!H4:H32873,"=Dağıtım-OG",'[7]TABLO-1'!J4:J32873,"=Dışsal",'[7]TABLO-1'!K4:K32873,"=Bildirimsiz",'[7]TABLO-1'!I4:I32873,"=Uzun",'[7]TABLO-1'!D4:D32873,"=KIRKLARELİMERKEZ")/P13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SUMIFS('[7]TABLO-1'!S4:S32873,'[7]TABLO-1'!H4:H32873,"=Dağıtım-OG",'[7]TABLO-1'!J4:J32873,"=Dışsal",'[7]TABLO-1'!K4:K32873,"=Bildirimsiz",'[7]TABLO-1'!I4:I32873,"=Uzun",'[7]TABLO-1'!D4:D32873,"=KIRKLARELİMERKEZ")/P8</f>
        <v>5.763688760806916E-3</v>
      </c>
      <c r="K34" s="10">
        <f>SUMIFS('[7]TABLO-1'!T4:T32873,'[7]TABLO-1'!H4:H32873,"=Dağıtım-OG",'[7]TABLO-1'!J4:J32873,"=Dışsal",'[7]TABLO-1'!K4:K32873,"=bildirimsiz",'[7]TABLO-1'!I4:I32873,"=Uzun",'[7]TABLO-1'!D4:D32873,"=KIRKLARELİMERKEZ")/P14</f>
        <v>6.6566816442003662E-4</v>
      </c>
      <c r="L34" s="10">
        <f t="shared" si="12"/>
        <v>8.0873433077234124E-4</v>
      </c>
      <c r="M34" s="11">
        <f t="shared" si="13"/>
        <v>2.3435784851811196E-2</v>
      </c>
    </row>
    <row r="35" spans="2:13" ht="15" customHeight="1" thickBot="1" x14ac:dyDescent="0.3">
      <c r="B35" s="30" t="s">
        <v>16</v>
      </c>
      <c r="C35" s="3" t="s">
        <v>15</v>
      </c>
      <c r="D35" s="10">
        <f>SUMIFS('[7]TABLO-1'!O4:O32873,'[7]TABLO-1'!H4:H32873,"=Dağıtım-OG",'[7]TABLO-1'!J4:J32873,"=Mücbir Sebep",'[7]TABLO-1'!K4:K32873,"=Bildirimsiz",'[7]TABLO-1'!I4:I32873,"=Uzun",'[7]TABLO-1'!D4:D32873,"=KIRKLARELİMERKEZ")/P6</f>
        <v>0</v>
      </c>
      <c r="E35" s="10">
        <f>SUMIFS('[7]TABLO-1'!P4:P32873,'[7]TABLO-1'!H4:H32873,"=Dağıtım-OG",'[7]TABLO-1'!J4:J32873,"=Mücbir Sebep",'[7]TABLO-1'!K4:K32873,"=Bildirimsiz",'[7]TABLO-1'!I4:I32873,"=Uzun",'[7]TABLO-1'!D4:D32873,"=KIRKLARELİMERKEZ")/P12</f>
        <v>0</v>
      </c>
      <c r="F35" s="10">
        <f t="shared" si="10"/>
        <v>0</v>
      </c>
      <c r="G35" s="10">
        <f>SUMIFS('[7]TABLO-1'!Q4:Q32873,'[7]TABLO-1'!H4:H32873,"=Dağıtım-OG",'[7]TABLO-1'!J4:J32873,"=Mücbir Sebep",'[7]TABLO-1'!K4:K32873,"=Bildirimsiz",'[7]TABLO-1'!I4:I32873,"=Uzun",'[7]TABLO-1'!D4:D32873,"=KIRKLARELİMERKEZ")/P7</f>
        <v>0</v>
      </c>
      <c r="H35" s="10">
        <f>SUMIFS('[7]TABLO-1'!R4:R32873,'[7]TABLO-1'!H4:H32873,"=Dağıtım-OG",'[7]TABLO-1'!J4:J32873,"=Mücbir Sebep",'[7]TABLO-1'!K4:K32873,"=Bildirimsiz",'[7]TABLO-1'!I4:I32873,"=Uzun",'[7]TABLO-1'!D4:D32873,"=KIRKLARELİMERKEZ")/P13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Sebep",'[7]TABLO-1'!K4:K32873,"=Bildirimsiz",'[7]TABLO-1'!I4:I32873,"=Uzun",'[7]TABLO-1'!D4:D32873,"=KIRKLARELİMERKEZ")/P8</f>
        <v>0</v>
      </c>
      <c r="K35" s="10">
        <f>SUMIFS('[7]TABLO-1'!T4:T32873,'[7]TABLO-1'!H4:H32873,"=Dağıtım-OG",'[7]TABLO-1'!J4:J32873,"=Mücbir Sebep",'[7]TABLO-1'!K4:K32873,"=bildirimsiz",'[7]TABLO-1'!I4:I32873,"=Uzun",'[7]TABLO-1'!D4:D32873,"=KIRKLARELİMERKEZ")/P14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>
        <f>SUMIFS('[7]TABLO-1'!O4:O32873,'[7]TABLO-1'!H4:H32873,"=Dağıtım-OG",'[7]TABLO-1'!J4:J32873,"=Güvenlik",'[7]TABLO-1'!K4:K32873,"=Bildirimsiz",'[7]TABLO-1'!I4:I32873,"=Uzun",'[7]TABLO-1'!D4:D32873,"=KIRKLARELİMERKEZ")/P6</f>
        <v>0</v>
      </c>
      <c r="E36" s="10">
        <f>SUMIFS('[7]TABLO-1'!P4:P32873,'[7]TABLO-1'!H4:H32873,"=Dağıtım-OG",'[7]TABLO-1'!J4:J32873,"=Güvenlik",'[7]TABLO-1'!K4:K32873,"=Bildirimsiz",'[7]TABLO-1'!I4:I32873,"=Uzun",'[7]TABLO-1'!D4:D32873,"=KIRKLARELİMERKEZ")/P12</f>
        <v>0</v>
      </c>
      <c r="F36" s="10">
        <f t="shared" si="10"/>
        <v>0</v>
      </c>
      <c r="G36" s="10">
        <f>SUMIFS('[7]TABLO-1'!Q4:Q32873,'[7]TABLO-1'!H4:H32873,"=Dağıtım-OG",'[7]TABLO-1'!J4:J32873,"=Güvenlik",'[7]TABLO-1'!K4:K32873,"=Bildirimsiz",'[7]TABLO-1'!I4:I32873,"=Uzun",'[7]TABLO-1'!D4:D32873,"=KIRKLARELİMERKEZ")/P7</f>
        <v>0</v>
      </c>
      <c r="H36" s="10">
        <f>SUMIFS('[7]TABLO-1'!R4:R32873,'[7]TABLO-1'!H4:H32873,"=Dağıtım-OG",'[7]TABLO-1'!J4:J32873,"=Güvenlik",'[7]TABLO-1'!K4:K32873,"=Bildirimsiz",'[7]TABLO-1'!I4:I32873,"=Uzun",'[7]TABLO-1'!D4:D32873,"=KIRKLARELİMERKEZ")/P13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SUMIFS('[7]TABLO-1'!S4:S32873,'[7]TABLO-1'!H4:H32873,"=Dağıtım-OG",'[7]TABLO-1'!J4:J32873,"=Güvenlik",'[7]TABLO-1'!K4:K32873,"=Bildirimsiz",'[7]TABLO-1'!I4:I32873,"=Uzun",'[7]TABLO-1'!D4:D32873,"=KIRKLARELİMERKEZ")/P8</f>
        <v>0</v>
      </c>
      <c r="K36" s="10">
        <f>SUMIFS('[7]TABLO-1'!T4:T32873,'[7]TABLO-1'!H4:H32873,"=Dağıtım-OG",'[7]TABLO-1'!J4:J32873,"=Güvenlik",'[7]TABLO-1'!K4:K32873,"=bildirimsiz",'[7]TABLO-1'!I4:I32873,"=Uzun",'[7]TABLO-1'!D4:D32873,"=KIRKLARELİMERKEZ")/P14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>
        <f>SUMIFS('[7]TABLO-1'!O4:O32873,'[7]TABLO-1'!H4:H32873,"=Dağıtım-AG",'[7]TABLO-1'!J4:J32873,"=Şebeke İşletmecisi",'[7]TABLO-1'!K4:K32873,"=Bildirimsiz",'[7]TABLO-1'!I4:I32873,"=Uzun",'[7]TABLO-1'!D4:D32873,"=KIRKLARELİMERKEZ")/P6</f>
        <v>0</v>
      </c>
      <c r="E37" s="10">
        <f>SUMIFS('[7]TABLO-1'!P4:P32873,'[7]TABLO-1'!H4:H32873,"=Dağıtım-AG",'[7]TABLO-1'!J4:J32873,"=Şebeke İşletmecisi",'[7]TABLO-1'!K4:K32873,"=Bildirimsiz",'[7]TABLO-1'!I4:I32873,"=Uzun",'[7]TABLO-1'!D4:D32873,"=KIRKLARELİMERKEZ")/P12</f>
        <v>7.7532225148697911E-2</v>
      </c>
      <c r="F37" s="10">
        <f t="shared" si="10"/>
        <v>7.7251950850727336E-2</v>
      </c>
      <c r="G37" s="12">
        <f>SUMIFS('[7]TABLO-1'!Q4:Q32873,'[7]TABLO-1'!H4:H32873,"=Dağıtım-AG",'[7]TABLO-1'!J4:J32873,"=Şebeke İşletmecisi",'[7]TABLO-1'!K4:K32873,"=Bildirimsiz",'[7]TABLO-1'!I4:I32873,"=Uzun",'[7]TABLO-1'!D4:D32873,"=KIRKLARELİMERKEZ")/P7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İşletmecisi",'[7]TABLO-1'!K4:K32873,"=Bildirimsiz",'[7]TABLO-1'!I4:I32873,"=Uzun",'[7]TABLO-1'!D4:D32873,"=KIRKLARELİMERKEZ")/P13</f>
        <v>5.304585900068446E-2</v>
      </c>
      <c r="I37" s="10">
        <f t="shared" si="11"/>
        <v>5.2083333333333336E-2</v>
      </c>
      <c r="J37" s="12">
        <f>SUMIFS('[7]TABLO-1'!S4:S32873,'[7]TABLO-1'!H4:H32873,"=Dağıtım-AG",'[7]TABLO-1'!J4:J32873,"=Şebeke İşletmecisi",'[7]TABLO-1'!K4:K32873,"=Bildirimsiz",'[7]TABLO-1'!I4:I32873,"=Uzun",'[7]TABLO-1'!D4:D32873,"=KIRKLARELİMERKEZ")/P8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İşletmecisi",'[7]TABLO-1'!K4:K32873,"=bildirimsiz",'[7]TABLO-1'!I4:I32873,"=Uzun",'[7]TABLO-1'!D4:D32873,"=KIRKLARELİMERKEZ")/P14</f>
        <v>9.9184556498585458E-2</v>
      </c>
      <c r="L37" s="10">
        <f t="shared" si="12"/>
        <v>9.6401132228063083E-2</v>
      </c>
      <c r="M37" s="11">
        <f t="shared" si="13"/>
        <v>7.947310647639956E-2</v>
      </c>
    </row>
    <row r="38" spans="2:13" ht="15" customHeight="1" thickBot="1" x14ac:dyDescent="0.3">
      <c r="B38" s="30" t="s">
        <v>19</v>
      </c>
      <c r="C38" s="3" t="s">
        <v>3</v>
      </c>
      <c r="D38" s="12">
        <f>SUMIFS('[7]TABLO-1'!O4:O32873,'[7]TABLO-1'!H4:H32873,"=Dağıtım-AG",'[7]TABLO-1'!J4:J32873,"=Dışsal",'[7]TABLO-1'!K4:K32873,"=Bildirimsiz",'[7]TABLO-1'!I4:I32873,"=Uzun",'[7]TABLO-1'!D4:D32873,"=KIRKLARELİMERKEZ")/P6</f>
        <v>0</v>
      </c>
      <c r="E38" s="10">
        <f>SUMIFS('[7]TABLO-1'!P4:P32873,'[7]TABLO-1'!H4:H32873,"=Dağıtım-AG",'[7]TABLO-1'!J4:J32873,"=Dışsal",'[7]TABLO-1'!K4:K32873,"=Bildirimsiz",'[7]TABLO-1'!I4:I32873,"=Uzun",'[7]TABLO-1'!D4:D32873,"=KIRKLARELİMERKEZ")/P12</f>
        <v>0</v>
      </c>
      <c r="F38" s="10">
        <f t="shared" si="10"/>
        <v>0</v>
      </c>
      <c r="G38" s="12">
        <f>SUMIFS('[7]TABLO-1'!Q4:Q32873,'[7]TABLO-1'!H4:H32873,"=Dağıtım-AG",'[7]TABLO-1'!J4:J32873,"=Dışsal",'[7]TABLO-1'!K4:K32873,"=Bildirimsiz",'[7]TABLO-1'!I4:I32873,"=Uzun",'[7]TABLO-1'!D4:D32873,"=KIRKLARELİMERKEZ")/P7</f>
        <v>0</v>
      </c>
      <c r="H38" s="10">
        <f>SUMIFS('[7]TABLO-1'!R4:R32873,'[7]TABLO-1'!H4:H32873,"=Dağıtım-AG",'[7]TABLO-1'!J4:J32873,"=Dışsal",'[7]TABLO-1'!K4:K32873,"=Bildirimsiz",'[7]TABLO-1'!I4:I32873,"=Uzun",'[7]TABLO-1'!D4:D32873,"=KIRKLARELİMERKEZ")/P13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SUMIFS('[7]TABLO-1'!S4:S32873,'[7]TABLO-1'!H4:H32873,"=Dağıtım-AG",'[7]TABLO-1'!J4:J32873,"=Dışsal",'[7]TABLO-1'!K4:K32873,"=Bildirimsiz",'[7]TABLO-1'!I4:I32873,"=Uzun",'[7]TABLO-1'!D4:D32873,"=KIRKLARELİMERKEZ")/P8</f>
        <v>0</v>
      </c>
      <c r="K38" s="10">
        <f>SUMIFS('[7]TABLO-1'!T4:T32873,'[7]TABLO-1'!H4:H32873,"=Dağıtım-AG",'[7]TABLO-1'!J4:J32873,"=Dışsal",'[7]TABLO-1'!K4:K32873,"=bildirimsiz",'[7]TABLO-1'!I4:I32873,"=Uzun",'[7]TABLO-1'!D4:D32873,"=KIRKLARELİMERKEZ")/P14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>
        <f>SUMIFS('[7]TABLO-1'!O4:O32873,'[7]TABLO-1'!H4:H32873,"=Dağıtım-AG",'[7]TABLO-1'!J4:J32873,"=Mücbir Sebep",'[7]TABLO-1'!K4:K32873,"=Bildirimsiz",'[7]TABLO-1'!I4:I32873,"=Uzun",'[7]TABLO-1'!D4:D32873,"=KIRKLARELİMERKEZ")/P6</f>
        <v>0</v>
      </c>
      <c r="E39" s="10">
        <f>SUMIFS('[7]TABLO-1'!P4:P32873,'[7]TABLO-1'!H4:H32873,"=Dağıtım-AG",'[7]TABLO-1'!J4:J32873,"=Mücbir Sebep",'[7]TABLO-1'!K4:K32873,"=Bildirimsiz",'[7]TABLO-1'!I4:I32873,"=Uzun",'[7]TABLO-1'!D4:D32873,"=KIRKLARELİMERKEZ")/P12</f>
        <v>0</v>
      </c>
      <c r="F39" s="10">
        <f t="shared" si="10"/>
        <v>0</v>
      </c>
      <c r="G39" s="12">
        <f>SUMIFS('[7]TABLO-1'!Q4:Q32873,'[7]TABLO-1'!H4:H32873,"=Dağıtım-AG",'[7]TABLO-1'!J4:J32873,"=Mücbir Sebep",'[7]TABLO-1'!K4:K32873,"=Bildirimsiz",'[7]TABLO-1'!I4:I32873,"=Uzun",'[7]TABLO-1'!D4:D32873,"=KIRKLARELİMERKEZ")/P7</f>
        <v>0</v>
      </c>
      <c r="H39" s="10">
        <f>SUMIFS('[7]TABLO-1'!R4:R32873,'[7]TABLO-1'!H4:H32873,"=Dağıtım-AG",'[7]TABLO-1'!J4:J32873,"=Mücbir Sebep",'[7]TABLO-1'!K4:K32873,"=Bildirimsiz",'[7]TABLO-1'!I4:I32873,"=Uzun",'[7]TABLO-1'!D4:D32873,"=KIRKLARELİMERKEZ")/P13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Sebep",'[7]TABLO-1'!K4:K32873,"=Bildirimsiz",'[7]TABLO-1'!I4:I32873,"=Uzun",'[7]TABLO-1'!D4:D32873,"=KIRKLARELİMERKEZ")/P8</f>
        <v>0</v>
      </c>
      <c r="K39" s="10">
        <f>SUMIFS('[7]TABLO-1'!T4:T32873,'[7]TABLO-1'!H4:H32873,"=Dağıtım-AG",'[7]TABLO-1'!J4:J32873,"=Mücbir Sebep",'[7]TABLO-1'!K4:K32873,"=bildirimsiz",'[7]TABLO-1'!I4:I32873,"=Uzun",'[7]TABLO-1'!D4:D32873,"=KIRKLARELİMERKEZ")/P14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>
        <f>SUMIFS('[7]TABLO-1'!O4:O32873,'[7]TABLO-1'!H4:H32873,"=Dağıtım-AG",'[7]TABLO-1'!J4:J32873,"=Güvenlik",'[7]TABLO-1'!K4:K32873,"=Bildirimsiz",'[7]TABLO-1'!I4:I32873,"=Uzun",'[7]TABLO-1'!D4:D32873,"=KIRKLARELİMERKEZ")/P6</f>
        <v>0</v>
      </c>
      <c r="E40" s="10">
        <f>SUMIFS('[7]TABLO-1'!P4:P32873,'[7]TABLO-1'!H4:H32873,"=Dağıtım-AG",'[7]TABLO-1'!J4:J32873,"=Güvenlik",'[7]TABLO-1'!K4:K32873,"=Bildirimsiz",'[7]TABLO-1'!I4:I32873,"=Uzun",'[7]TABLO-1'!D4:D32873,"=KIRKLARELİMERKEZ")/P12</f>
        <v>0</v>
      </c>
      <c r="F40" s="10">
        <f t="shared" si="10"/>
        <v>0</v>
      </c>
      <c r="G40" s="12">
        <f>SUMIFS('[7]TABLO-1'!Q4:Q32873,'[7]TABLO-1'!H4:H32873,"=Dağıtım-AG",'[7]TABLO-1'!J4:J32873,"=Güvenlik",'[7]TABLO-1'!K4:K32873,"=Bildirimsiz",'[7]TABLO-1'!I4:I32873,"=Uzun",'[7]TABLO-1'!D4:D32873,"=KIRKLARELİMERKEZ")/P7</f>
        <v>0</v>
      </c>
      <c r="H40" s="10">
        <f>SUMIFS('[7]TABLO-1'!R4:R32873,'[7]TABLO-1'!H4:H32873,"=Dağıtım-AG",'[7]TABLO-1'!J4:J32873,"=Güvenlik",'[7]TABLO-1'!K4:K32873,"=Bildirimsiz",'[7]TABLO-1'!I4:I32873,"=Uzun",'[7]TABLO-1'!D4:D32873,"=KIRKLARELİMERKEZ")/P13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SUMIFS('[7]TABLO-1'!S4:S32873,'[7]TABLO-1'!H4:H32873,"=Dağıtım-AG",'[7]TABLO-1'!J4:J32873,"=Güvenlik",'[7]TABLO-1'!K4:K32873,"=Bildirimsiz",'[7]TABLO-1'!I4:I32873,"=Uzun",'[7]TABLO-1'!D4:D32873,"=KIRKLARELİMERKEZ")/P8</f>
        <v>0</v>
      </c>
      <c r="K40" s="10">
        <f>SUMIFS('[7]TABLO-1'!T4:T32873,'[7]TABLO-1'!H4:H32873,"=Dağıtım-AG",'[7]TABLO-1'!J4:J32873,"=Güvenlik",'[7]TABLO-1'!K4:K32873,"=bildirimsiz",'[7]TABLO-1'!I4:I32873,"=Uzun",'[7]TABLO-1'!D4:D32873,"=KIRKLARELİMERKEZ")/P14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>
        <f>SUM(D31:D40)</f>
        <v>1.875</v>
      </c>
      <c r="E41" s="10">
        <f t="shared" ref="E41:M41" si="14">SUM(E31:E40)</f>
        <v>1.3317576878128761</v>
      </c>
      <c r="F41" s="10">
        <f t="shared" si="14"/>
        <v>1.3337214758685416</v>
      </c>
      <c r="G41" s="10">
        <f t="shared" si="14"/>
        <v>4.3518518518518521</v>
      </c>
      <c r="H41" s="10">
        <f t="shared" si="14"/>
        <v>2.5886379192334017</v>
      </c>
      <c r="I41" s="10">
        <f t="shared" si="14"/>
        <v>2.6206317204301075</v>
      </c>
      <c r="J41" s="10">
        <f t="shared" si="14"/>
        <v>3.5619596541786747</v>
      </c>
      <c r="K41" s="10">
        <f t="shared" si="14"/>
        <v>3.945248793476452</v>
      </c>
      <c r="L41" s="10">
        <f t="shared" si="14"/>
        <v>3.9344925192074403</v>
      </c>
      <c r="M41" s="10">
        <f t="shared" si="14"/>
        <v>1.8275246981339188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>
        <f>SUMIFS('[7]TABLO-1'!O4:O32873,'[7]TABLO-1'!H4:H32873,"=İletim",'[7]TABLO-1'!J4:J32873,"=Şebeke İşletmecisi",'[7]TABLO-1'!K4:K32873,"=Bildirimli",'[7]TABLO-1'!I4:I32873,"=Uzun",'[7]TABLO-1'!D4:D32873,"=KIRKLARELİMERKEZ")/P6</f>
        <v>0</v>
      </c>
      <c r="E46" s="10">
        <f>SUMIFS('[7]TABLO-1'!P4:P32873,'[7]TABLO-1'!H4:H32873,"=İletim",'[7]TABLO-1'!J4:J32873,"=Şebeke İşletmecisi",'[7]TABLO-1'!K4:K32873,"=Bildirimli",'[7]TABLO-1'!I4:I32873,"=Uzun",'[7]TABLO-1'!D4:D32873,"=KIRKLARELİMERKEZ")/P12</f>
        <v>0</v>
      </c>
      <c r="F46" s="10">
        <f>IFERROR((((D46*$P$6)+(E46*$P$12))/$P$17),"0,00")</f>
        <v>0</v>
      </c>
      <c r="G46" s="10">
        <f>SUMIFS('[7]TABLO-1'!Q4:Q32873,'[7]TABLO-1'!H4:H32873,"=İletim",'[7]TABLO-1'!J4:J32873,"=Şebeke İşletmecisi",'[7]TABLO-1'!K4:K32873,"=Bildirimli",'[7]TABLO-1'!I4:I32873,"=Uzun",'[7]TABLO-1'!D4:D32873,"=KIRKLARELİMERKEZ")/P7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İşletmecisi",'[7]TABLO-1'!K4:K32873,"=Bildirimli",'[7]TABLO-1'!I4:I32873,"=Uzun",'[7]TABLO-1'!D4:D32873,"=KIRKLARELİMERKEZ")/P13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İşletmecisi",'[7]TABLO-1'!K4:K32873,"=Bildirimli",'[7]TABLO-1'!I4:I32873,"=Uzun",'[7]TABLO-1'!D4:D32873,"=KIRKLARELİMERKEZ")/P8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İşletmecisi",'[7]TABLO-1'!K4:K32873,"=bildirimli",'[7]TABLO-1'!I4:I32873,"=Uzun",'[7]TABLO-1'!D4:D32873,"=KIRKLARELİMERKEZ")/P14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>
        <f>SUMIFS('[7]TABLO-1'!O4:O32873,'[7]TABLO-1'!H4:H32873,"=Dağıtım-OG",'[7]TABLO-1'!J4:J32873,"=Şebeke İşletmecisi",'[7]TABLO-1'!K4:K32873,"=Bildirimli",'[7]TABLO-1'!I4:I32873,"=Uzun",'[7]TABLO-1'!D4:D32873,"=KIRKLARELİMERKEZ")/P6</f>
        <v>0.14423076923076922</v>
      </c>
      <c r="E47" s="10">
        <f>SUMIFS('[7]TABLO-1'!P4:P32873,'[7]TABLO-1'!H4:H32873,"=Dağıtım-OG",'[7]TABLO-1'!J4:J32873,"=Şebeke İşletmecisi",'[7]TABLO-1'!K4:K32873,"=Bildirimli",'[7]TABLO-1'!I4:I32873,"=Uzun",'[7]TABLO-1'!D4:D32873,"=KIRKLARELİMERKEZ")/P12</f>
        <v>0.98670876140308039</v>
      </c>
      <c r="F47" s="10">
        <f t="shared" ref="F47:F50" si="15">IFERROR((((D47*$P$6)+(E47*$P$12))/$P$17),"0,00")</f>
        <v>0.98366325448826009</v>
      </c>
      <c r="G47" s="10">
        <f>SUMIFS('[7]TABLO-1'!Q4:Q32873,'[7]TABLO-1'!H4:H32873,"=Dağıtım-OG",'[7]TABLO-1'!J4:J32873,"=Şebeke İşletmecisi",'[7]TABLO-1'!K4:K32873,"=Bildirimli",'[7]TABLO-1'!I4:I32873,"=Uzun",'[7]TABLO-1'!D4:D32873,"=KIRKLARELİMERKEZ")/P7</f>
        <v>9.2592592592592587E-2</v>
      </c>
      <c r="H47" s="10">
        <f>SUMIFS('[7]TABLO-1'!R4:R32873,'[7]TABLO-1'!H4:H32873,"=Dağıtım-OG",'[7]TABLO-1'!J4:J32873,"=Şebeke İşletmecisi",'[7]TABLO-1'!K4:K32873,"=Bildirimli",'[7]TABLO-1'!I4:I32873,"=Uzun",'[7]TABLO-1'!D4:D32873,"=KIRKLARELİMERKEZ")/P13</f>
        <v>1.3347022587268994E-2</v>
      </c>
      <c r="I47" s="10">
        <f t="shared" ref="I47:I50" si="16">IFERROR((((G47*$P$7)+(H47*$P$13))/$P$20),"0,00")</f>
        <v>1.4784946236559141E-2</v>
      </c>
      <c r="J47" s="10">
        <f>SUMIFS('[7]TABLO-1'!S4:S32873,'[7]TABLO-1'!H4:H32873,"=Dağıtım-OG",'[7]TABLO-1'!J4:J32873,"=Şebeke İşletmecisi",'[7]TABLO-1'!K4:K32873,"=Bildirimli",'[7]TABLO-1'!I4:I32873,"=Uzun",'[7]TABLO-1'!D4:D32873,"=KIRKLARELİMERKEZ")/P8</f>
        <v>1.7291066282420751E-2</v>
      </c>
      <c r="K47" s="10">
        <f>SUMIFS('[7]TABLO-1'!T4:T32873,'[7]TABLO-1'!H4:H32873,"=Dağıtım-OG",'[7]TABLO-1'!J4:J32873,"=Şebeke İşletmecisi",'[7]TABLO-1'!K4:K32873,"=bildirimli",'[7]TABLO-1'!I4:I32873,"=Uzun",'[7]TABLO-1'!D4:D32873,"=KIRKLARELİMERKEZ")/P14</f>
        <v>8.1377933100349478E-2</v>
      </c>
      <c r="L47" s="10">
        <f t="shared" ref="L47:L50" si="17">IFERROR((((J47*$P$8)+(K47*$P$14))/$P$23),"0,00")</f>
        <v>7.9579458147998383E-2</v>
      </c>
      <c r="M47" s="11">
        <f t="shared" ref="M47:M50" si="18">IFERROR((((F47*$P$17)+(I47*$P$20)+(L47*$P$23))/$P$26),"0,00")</f>
        <v>0.79071075740944019</v>
      </c>
    </row>
    <row r="48" spans="2:13" ht="15" customHeight="1" thickBot="1" x14ac:dyDescent="0.3">
      <c r="B48" s="30" t="s">
        <v>16</v>
      </c>
      <c r="C48" s="3" t="s">
        <v>2</v>
      </c>
      <c r="D48" s="10">
        <f>SUMIFS('[7]TABLO-1'!O4:O32873,'[7]TABLO-1'!H4:H32873,"=Dağıtım-OG",'[7]TABLO-1'!J4:J32873,"=Güvenlik",'[7]TABLO-1'!K4:K32873,"=Bildirimli",'[7]TABLO-1'!I4:I32873,"=Uzun",'[7]TABLO-1'!D4:D32873,"=KIRKLARELİMERKEZ")/P6</f>
        <v>0</v>
      </c>
      <c r="E48" s="10">
        <f>SUMIFS('[7]TABLO-1'!P4:P32873,'[7]TABLO-1'!H4:H32873,"=Dağıtım-OG",'[7]TABLO-1'!J4:J32873,"=Güvenlik",'[7]TABLO-1'!K4:K32873,"=Bildirimli",'[7]TABLO-1'!I4:I32873,"=Uzun",'[7]TABLO-1'!D4:D32873,"=KIRKLARELİMERKEZ")/P12</f>
        <v>0</v>
      </c>
      <c r="F48" s="10">
        <f t="shared" si="15"/>
        <v>0</v>
      </c>
      <c r="G48" s="10">
        <f>SUMIFS('[7]TABLO-1'!Q4:Q32873,'[7]TABLO-1'!H4:H32873,"=Dağıtım-OG",'[7]TABLO-1'!J4:J32873,"=Güvenlik",'[7]TABLO-1'!K4:K32873,"=Bildirimli",'[7]TABLO-1'!I4:I32873,"=Uzun",'[7]TABLO-1'!D4:D32873,"=KIRKLARELİMERKEZ")/P7</f>
        <v>0</v>
      </c>
      <c r="H48" s="10">
        <f>SUMIFS('[7]TABLO-1'!R4:R32873,'[7]TABLO-1'!H4:H32873,"=Dağıtım-OG",'[7]TABLO-1'!J4:J32873,"=Güvenlik",'[7]TABLO-1'!K4:K32873,"=Bildirimli",'[7]TABLO-1'!I4:I32873,"=Uzun",'[7]TABLO-1'!D4:D32873,"=KIRKLARELİMERKEZ")/P13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SUMIFS('[7]TABLO-1'!S4:S32873,'[7]TABLO-1'!H4:H32873,"=Dağıtım-OG",'[7]TABLO-1'!J4:J32873,"=Güvenlik",'[7]TABLO-1'!K4:K32873,"=Bildirimli",'[7]TABLO-1'!I4:I32873,"=Uzun",'[7]TABLO-1'!D4:D32873,"=KIRKLARELİMERKEZ")/P8</f>
        <v>0</v>
      </c>
      <c r="K48" s="10">
        <f>SUMIFS('[7]TABLO-1'!T4:T32873,'[7]TABLO-1'!H4:H32873,"=Dağıtım-OG",'[7]TABLO-1'!J4:J32873,"=Güvenlik",'[7]TABLO-1'!K4:K32873,"=bildirimli",'[7]TABLO-1'!I4:I32873,"=Uzun",'[7]TABLO-1'!D4:D32873,"=KIRKLARELİMERKEZ")/P14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>
        <f>SUMIFS('[7]TABLO-1'!O4:O32873,'[7]TABLO-1'!H4:H32873,"=Dağıtım-AG",'[7]TABLO-1'!J4:J32873,"=Şebeke İşletmecisi",'[7]TABLO-1'!K4:K32873,"=Bildirimli",'[7]TABLO-1'!I4:I32873,"=Uzun",'[7]TABLO-1'!D4:D32873,"=KIRKLARELİMERKEZ")/P6</f>
        <v>0</v>
      </c>
      <c r="E49" s="10">
        <f>SUMIFS('[7]TABLO-1'!P4:P32873,'[7]TABLO-1'!H4:H32873,"=Dağıtım-AG",'[7]TABLO-1'!J4:J32873,"=Şebeke İşletmecisi",'[7]TABLO-1'!K4:K32873,"=Bildirimli",'[7]TABLO-1'!I4:I32873,"=Uzun",'[7]TABLO-1'!D4:D32873,"=KIRKLARELİMERKEZ")/P12</f>
        <v>5.2694004988575113E-2</v>
      </c>
      <c r="F49" s="10">
        <f t="shared" si="15"/>
        <v>5.2503519352091625E-2</v>
      </c>
      <c r="G49" s="12">
        <f>SUMIFS('[7]TABLO-1'!Q4:Q32873,'[7]TABLO-1'!H4:H32873,"=Dağıtım-AG",'[7]TABLO-1'!J4:J32873,"=Şebeke İşletmecisi",'[7]TABLO-1'!K4:K32873,"=Bildirimli",'[7]TABLO-1'!I4:I32873,"=Uzun",'[7]TABLO-1'!D4:D32873,"=KIRKLARELİMERKEZ")/P7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İşletmecisi",'[7]TABLO-1'!K4:K32873,"=Bildirimli",'[7]TABLO-1'!I4:I32873,"=Uzun",'[7]TABLO-1'!D4:D32873,"=KIRKLARELİMERKEZ")/P13</f>
        <v>7.7344284736481861E-2</v>
      </c>
      <c r="I49" s="10">
        <f t="shared" si="16"/>
        <v>7.5940860215053765E-2</v>
      </c>
      <c r="J49" s="12">
        <f>SUMIFS('[7]TABLO-1'!S4:S32873,'[7]TABLO-1'!H4:H32873,"=Dağıtım-AG",'[7]TABLO-1'!J4:J32873,"=Şebeke İşletmecisi",'[7]TABLO-1'!K4:K32873,"=Bildirimli",'[7]TABLO-1'!I4:I32873,"=Uzun",'[7]TABLO-1'!D4:D32873,"=KIRKLARELİMERKEZ")/P8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İşletmecisi",'[7]TABLO-1'!K4:K32873,"=bildirimli",'[7]TABLO-1'!I4:I32873,"=Uzun",'[7]TABLO-1'!D4:D32873,"=KIRKLARELİMERKEZ")/P14</f>
        <v>4.4932601098352475E-3</v>
      </c>
      <c r="L49" s="10">
        <f t="shared" si="17"/>
        <v>4.3671653861706433E-3</v>
      </c>
      <c r="M49" s="11">
        <f t="shared" si="18"/>
        <v>4.5293633369923161E-2</v>
      </c>
    </row>
    <row r="50" spans="2:13" ht="15" customHeight="1" thickBot="1" x14ac:dyDescent="0.3">
      <c r="B50" s="30" t="s">
        <v>19</v>
      </c>
      <c r="C50" s="3" t="s">
        <v>2</v>
      </c>
      <c r="D50" s="12">
        <f>SUMIFS('[7]TABLO-1'!O4:O32873,'[7]TABLO-1'!H4:H32873,"=Dağıtım-AG",'[7]TABLO-1'!J4:J32873,"=Güvenlik",'[7]TABLO-1'!K4:K32873,"=Bildirimli",'[7]TABLO-1'!I4:I32873,"=Uzun",'[7]TABLO-1'!D4:D32873,"=KIRKLARELİMERKEZ")/P6</f>
        <v>0</v>
      </c>
      <c r="E50" s="10">
        <f>SUMIFS('[7]TABLO-1'!P4:P32873,'[7]TABLO-1'!H4:H32873,"=Dağıtım-AG",'[7]TABLO-1'!J4:J32873,"=Güvenlik",'[7]TABLO-1'!K4:K32873,"=Bildirimli",'[7]TABLO-1'!I4:I32873,"=Uzun",'[7]TABLO-1'!D4:D32873,"=KIRKLARELİMERKEZ")/P12</f>
        <v>0</v>
      </c>
      <c r="F50" s="10">
        <f t="shared" si="15"/>
        <v>0</v>
      </c>
      <c r="G50" s="12">
        <f>SUMIFS('[7]TABLO-1'!Q4:Q32873,'[7]TABLO-1'!H4:H32873,"=Dağıtım-AG",'[7]TABLO-1'!J4:J32873,"=Güvenlik",'[7]TABLO-1'!K4:K32873,"=Bildirimli",'[7]TABLO-1'!I4:I32873,"=Uzun",'[7]TABLO-1'!D4:D32873,"=KIRKLARELİMERKEZ")/P7</f>
        <v>0</v>
      </c>
      <c r="H50" s="10">
        <f>SUMIFS('[7]TABLO-1'!R4:R32873,'[7]TABLO-1'!H4:H32873,"=Dağıtım-AG",'[7]TABLO-1'!J4:J32873,"=Güvenlik",'[7]TABLO-1'!K4:K32873,"=Bildirimli",'[7]TABLO-1'!I4:I32873,"=Uzun",'[7]TABLO-1'!D4:D32873,"=KIRKLARELİMERKEZ")/P13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SUMIFS('[7]TABLO-1'!S4:S32873,'[7]TABLO-1'!H4:H32873,"=Dağıtım-AG",'[7]TABLO-1'!J4:J32873,"=Güvenlik",'[7]TABLO-1'!K4:K32873,"=Bildirimli",'[7]TABLO-1'!I4:I32873,"=Uzun",'[7]TABLO-1'!D4:D32873,"=KIRKLARELİMERKEZ")/P8</f>
        <v>0</v>
      </c>
      <c r="K50" s="10">
        <f>SUMIFS('[7]TABLO-1'!T4:T32873,'[7]TABLO-1'!H4:H32873,"=Dağıtım-AG",'[7]TABLO-1'!J4:J32873,"=Güvenlik",'[7]TABLO-1'!K4:K32873,"=bildirimli",'[7]TABLO-1'!I4:I32873,"=Uzun",'[7]TABLO-1'!D4:D32873,"=KIRKLARELİMERKEZ")/P14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>
        <f>SUM(D46:D50)</f>
        <v>0.14423076923076922</v>
      </c>
      <c r="E51" s="10">
        <f t="shared" ref="E51:M51" si="19">SUM(E46:E50)</f>
        <v>1.0394027663916554</v>
      </c>
      <c r="F51" s="10">
        <f t="shared" si="19"/>
        <v>1.0361667738403517</v>
      </c>
      <c r="G51" s="10">
        <f t="shared" si="19"/>
        <v>9.2592592592592587E-2</v>
      </c>
      <c r="H51" s="10">
        <f t="shared" si="19"/>
        <v>9.0691307323750858E-2</v>
      </c>
      <c r="I51" s="10">
        <f t="shared" si="19"/>
        <v>9.0725806451612906E-2</v>
      </c>
      <c r="J51" s="10">
        <f t="shared" si="19"/>
        <v>1.7291066282420751E-2</v>
      </c>
      <c r="K51" s="10">
        <f t="shared" si="19"/>
        <v>8.5871193210184729E-2</v>
      </c>
      <c r="L51" s="10">
        <f t="shared" si="19"/>
        <v>8.3946623534169026E-2</v>
      </c>
      <c r="M51" s="10">
        <f t="shared" si="19"/>
        <v>0.83600439077936339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>
        <f>SUMIFS('[7]TABLO-1'!O1:O32873,'[7]TABLO-1'!H1:H32873,"=İletim",'[7]TABLO-1'!K1:K32873,"=Bildirimsiz",'[7]TABLO-1'!I1:I32873,"=Kısa",'[7]TABLO-1'!D1:D32873,"=KIRKLARELİMERKEZ")/P6</f>
        <v>0</v>
      </c>
      <c r="D56" s="10">
        <f>SUMIFS('[7]TABLO-1'!P1:P32873,'[7]TABLO-1'!H1:H32873,"=İletim",'[7]TABLO-1'!K1:K32873,"=Bildirimsiz",'[7]TABLO-1'!I1:I32873,"=Kısa",'[7]TABLO-1'!D1:D32873,"=KIRKLARELİMERKEZ")/P12</f>
        <v>0</v>
      </c>
      <c r="E56" s="10">
        <f>IFERROR((((C56*$P$6)+(D56*$P$12))/$P$17),"0,00")</f>
        <v>0</v>
      </c>
      <c r="F56" s="10">
        <f>SUMIFS('[7]TABLO-1'!Q1:Q32873,'[7]TABLO-1'!H1:H32873,"=İletim",'[7]TABLO-1'!K1:K32873,"=Bildirimsiz",'[7]TABLO-1'!I1:I32873,"=Kısa",'[7]TABLO-1'!D1:D32873,"=KIRKLARELİMERKEZ")/P7</f>
        <v>0</v>
      </c>
      <c r="G56" s="10">
        <f>SUMIFS('[7]TABLO-1'!R1:R32873,'[7]TABLO-1'!H1:H32873,"=İletim",'[7]TABLO-1'!K1:K32873,"=Bildirimsiz",'[7]TABLO-1'!I1:I32873,"=Kısa",'[7]TABLO-1'!D1:D32873,"=KIRKLARELİMERKEZ")/P13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SUMIFS('[7]TABLO-1'!S1:S32873,'[7]TABLO-1'!H1:H32873,"=İletim",'[7]TABLO-1'!K1:K32873,"=Bildirimsiz",'[7]TABLO-1'!I1:I32873,"=Kısa",'[7]TABLO-1'!D1:D32873,"=KIRKLARELİMERKEZ")/P8</f>
        <v>0</v>
      </c>
      <c r="J56" s="10">
        <f>SUMIFS('[7]TABLO-1'!T1:T32873,'[7]TABLO-1'!H1:H32873,"=İletim",'[7]TABLO-1'!K1:K32873,"=Bildirimsiz",'[7]TABLO-1'!I1:I32873,"=Kısa",'[7]TABLO-1'!D1:D32873,"=KIRKLARELİMERKEZ")/P14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>
        <f>SUMIFS('[7]TABLO-1'!O4:O32873,'[7]TABLO-1'!H4:H32873,"=Dağıtım-OG",'[7]TABLO-1'!K4:K32873,"=Bildirimsiz",'[7]TABLO-1'!I4:I32873,"=Kısa",'[7]TABLO-1'!D4:D32873,"=KIRKLARELİMERKEZ")/P6</f>
        <v>0.49519230769230771</v>
      </c>
      <c r="D57" s="10">
        <f>SUMIFS('[7]TABLO-1'!P4:P32873,'[7]TABLO-1'!H4:H32873,"=Dağıtım-OG",'[7]TABLO-1'!K4:K32873,"=Bildirimsiz",'[7]TABLO-1'!I4:I32873,"=Kısa",'[7]TABLO-1'!D4:D32873,"=KIRKLARELİMERKEZ")/P12</f>
        <v>0.21644485531387905</v>
      </c>
      <c r="E57" s="10">
        <f>IFERROR((((C57*$P$6)+(D57*$P$12))/$P$17),"0,00")</f>
        <v>0.21745251047115868</v>
      </c>
      <c r="F57" s="10">
        <f>SUMIFS('[7]TABLO-1'!Q4:Q32873,'[7]TABLO-1'!H4:H32873,"=Dağıtım-OG",'[7]TABLO-1'!K4:K32873,"=Bildirimsiz",'[7]TABLO-1'!I4:I32873,"=Kısa",'[7]TABLO-1'!D4:D32873,"=KIRKLARELİMERKEZ")/P7</f>
        <v>0.90740740740740744</v>
      </c>
      <c r="G57" s="10">
        <f>SUMIFS('[7]TABLO-1'!R4:R32873,'[7]TABLO-1'!H4:H32873,"=Dağıtım-OG",'[7]TABLO-1'!K4:K32873,"=Bildirimsiz",'[7]TABLO-1'!I4:I32873,"=Kısa",'[7]TABLO-1'!D4:D32873,"=KIRKLARELİMERKEZ")/P13</f>
        <v>0.83778234086242298</v>
      </c>
      <c r="H57" s="10">
        <f>IFERROR((((F57*$P$7)+(G57*$P$13))/$P$20),"0,00")</f>
        <v>0.83904569892473113</v>
      </c>
      <c r="I57" s="10">
        <f>SUMIFS('[7]TABLO-1'!S4:S32873,'[7]TABLO-1'!H4:H32873,"=Dağıtım-OG",'[7]TABLO-1'!K4:K32873,"=Bildirimsiz",'[7]TABLO-1'!I4:I32873,"=Kısa",'[7]TABLO-1'!D4:D32873,"=KIRKLARELİMERKEZ")/P8</f>
        <v>2.0288184438040346</v>
      </c>
      <c r="J57" s="10">
        <f>SUMIFS('[7]TABLO-1'!T4:T32873,'[7]TABLO-1'!H4:H32873,"=Dağıtım-OG",'[7]TABLO-1'!K4:K32873,"=Bildirimsiz",'[7]TABLO-1'!I4:I32873,"=Kısa",'[7]TABLO-1'!D4:D32873,"=KIRKLARELİMERKEZ")/P14</f>
        <v>2.1732401397903147</v>
      </c>
      <c r="K57" s="10">
        <f>IFERROR((((I57*$P$8)+(J57*$P$14))/$P$23),"0,00")</f>
        <v>2.1691872219975741</v>
      </c>
      <c r="L57" s="11">
        <f>IFERROR((((E57*$P$17)+(H57*$P$20)+(K57*$P$23))/$P$26),"0,00")</f>
        <v>0.57397091108671794</v>
      </c>
    </row>
    <row r="58" spans="2:13" ht="15" customHeight="1" thickBot="1" x14ac:dyDescent="0.3">
      <c r="B58" s="30" t="s">
        <v>19</v>
      </c>
      <c r="C58" s="10">
        <f>SUMIFS('[7]TABLO-1'!O4:O32873,'[7]TABLO-1'!H4:H32873,"=Dağıtım-AG",'[7]TABLO-1'!K4:K32873,"=Bildirimsiz",'[7]TABLO-1'!I4:I32873,"=Kısa",'[7]TABLO-1'!D4:D32873,"=KIRKLARELİMERKEZ")/P6</f>
        <v>0</v>
      </c>
      <c r="D58" s="10">
        <f>SUMIFS('[7]TABLO-1'!P4:P32873,'[7]TABLO-1'!H4:H32873,"=Dağıtım-AG",'[7]TABLO-1'!K4:K32873,"=Bildirimsiz",'[7]TABLO-1'!I4:I32873,"=Kısa",'[7]TABLO-1'!D4:D32873,"=KIRKLARELİMERKEZ")/P12</f>
        <v>0</v>
      </c>
      <c r="E58" s="10">
        <f>IFERROR((((C58*$P$6)+(D58*$P$12))/$P$17),"0,00")</f>
        <v>0</v>
      </c>
      <c r="F58" s="10">
        <f>SUMIFS('[7]TABLO-1'!Q4:Q32873,'[7]TABLO-1'!H4:H32873,"=Dağıtım-AG",'[7]TABLO-1'!K4:K32873,"=Bildirimsiz",'[7]TABLO-1'!I4:I32873,"=Kısa",'[7]TABLO-1'!D4:D32873,"=KIRKLARELİMERKEZ")/P7</f>
        <v>0</v>
      </c>
      <c r="G58" s="10">
        <f>SUMIFS('[7]TABLO-1'!R4:R32873,'[7]TABLO-1'!H4:H32873,"=Dağıtım-AG",'[7]TABLO-1'!K4:K32873,"=Bildirimsiz",'[7]TABLO-1'!I4:I32873,"=Kısa",'[7]TABLO-1'!D4:D32873,"=KIRKLARELİMERKEZ")/P13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SUMIFS('[7]TABLO-1'!S4:S32873,'[7]TABLO-1'!H4:H32873,"=Dağıtım-AG",'[7]TABLO-1'!K4:K32873,"=Bildirimsiz",'[7]TABLO-1'!I4:I32873,"=Kısa",'[7]TABLO-1'!D4:D32873,"=KIRKLARELİMERKEZ")/P8</f>
        <v>0</v>
      </c>
      <c r="J58" s="10">
        <f>SUMIFS('[7]TABLO-1'!T4:T32873,'[7]TABLO-1'!H4:H32873,"=Dağıtım-AG",'[7]TABLO-1'!K4:K32873,"=Bildirimsiz",'[7]TABLO-1'!I4:I32873,"=Kısa",'[7]TABLO-1'!D4:D32873,"=KIRKLARELİMERKEZ")/P14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>
        <f t="shared" ref="C59:L59" si="20">SUM(C56:C58)</f>
        <v>0.49519230769230771</v>
      </c>
      <c r="D59" s="10">
        <f t="shared" si="20"/>
        <v>0.21644485531387905</v>
      </c>
      <c r="E59" s="10">
        <f t="shared" si="20"/>
        <v>0.21745251047115868</v>
      </c>
      <c r="F59" s="10">
        <f t="shared" si="20"/>
        <v>0.90740740740740744</v>
      </c>
      <c r="G59" s="10">
        <f t="shared" si="20"/>
        <v>0.83778234086242298</v>
      </c>
      <c r="H59" s="10">
        <f t="shared" si="20"/>
        <v>0.83904569892473113</v>
      </c>
      <c r="I59" s="10">
        <f t="shared" si="20"/>
        <v>2.0288184438040346</v>
      </c>
      <c r="J59" s="10">
        <f t="shared" si="20"/>
        <v>2.1732401397903147</v>
      </c>
      <c r="K59" s="10">
        <f t="shared" si="20"/>
        <v>2.1691872219975741</v>
      </c>
      <c r="L59" s="10">
        <f t="shared" si="20"/>
        <v>0.57397091108671794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208</v>
      </c>
      <c r="D65" s="27">
        <f>P12</f>
        <v>57331</v>
      </c>
      <c r="E65" s="27">
        <f>C65+D65</f>
        <v>57539</v>
      </c>
      <c r="F65" s="17">
        <f>P7</f>
        <v>54</v>
      </c>
      <c r="G65" s="27">
        <f>P13</f>
        <v>2922</v>
      </c>
      <c r="H65" s="17">
        <f>SUM(F65:G65)</f>
        <v>2976</v>
      </c>
      <c r="I65" s="17">
        <f>P8</f>
        <v>347</v>
      </c>
      <c r="J65" s="27">
        <f>P14</f>
        <v>12018</v>
      </c>
      <c r="K65" s="17">
        <f>SUM(I65:J65)</f>
        <v>12365</v>
      </c>
      <c r="L65" s="17">
        <f>H65+E65+K65</f>
        <v>72880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Q71"/>
  <sheetViews>
    <sheetView zoomScale="70" zoomScaleNormal="70" workbookViewId="0">
      <selection activeCell="O60" sqref="O6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İşletmecisi",'[7]TABLO-1'!K4:K32873,"=Bildirimsiz",'[7]TABLO-1'!I4:I32873,"=Uzun",'[7]TABLO-1'!D4:D32873,"=KOFÇAZ")/P6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İşletmecisi",'[7]TABLO-1'!K4:K32873,"=Bildirimsiz",'[7]TABLO-1'!I4:I32873,"=Uzun",'[7]TABLO-1'!D4:D32873,"=KOFÇAZ")/P12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İşletmecisi",'[7]TABLO-1'!K4:K32873,"=Bildirimsiz",'[7]TABLO-1'!I4:I32873,"=Uzun",'[7]TABLO-1'!D4:D32873,"=KOFÇAZ")/P7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İşletmecisi",'[7]TABLO-1'!K4:K32873,"=Bildirimsiz",'[7]TABLO-1'!I4:I32873,"=Uzun",'[7]TABLO-1'!D4:D32873,"=KOFÇAZ")/P13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İşletmecisi",'[7]TABLO-1'!K4:K32873,"=Bildirimsiz",'[7]TABLO-1'!I4:I32873,"=Uzun",'[7]TABLO-1'!D4:D32873,"=KOFÇAZ")/P8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İşletmecisi",'[7]TABLO-1'!K4:K32873,"=Bildirimsiz",'[7]TABLO-1'!I4:I32873,"=Uzun",'[7]TABLO-1'!D4:D32873,"=KOFÇAZ")/P14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Sebep",'[7]TABLO-1'!K4:K32873,"=Bildirimsiz",'[7]TABLO-1'!I4:I32873,"=Uzun",'[7]TABLO-1'!D4:D32873,"=KOFÇAZ")/P6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Sebep",'[7]TABLO-1'!K4:K32873,"=Bildirimsiz",'[7]TABLO-1'!I4:I32873,"=Uzun",'[7]TABLO-1'!D4:D32873,"=KOFÇAZ")/P12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Sebep",'[7]TABLO-1'!K4:K32873,"=Bildirimsiz",'[7]TABLO-1'!I4:I32873,"=Uzun",'[7]TABLO-1'!D4:D32873,"=KOFÇAZ")/P7</f>
        <v>0</v>
      </c>
      <c r="H7" s="10">
        <f>SUMIFS('[7]TABLO-1'!X4:X32873,'[7]TABLO-1'!H4:H32873,"=İletim",'[7]TABLO-1'!J4:J32873,"=Mücbir Sebep",'[7]TABLO-1'!K4:K32873,"=Bildirimsiz",'[7]TABLO-1'!I4:I32873,"=Uzun",'[7]TABLO-1'!D4:D32873,"=KOFÇAZ")/P13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Sebep",'[7]TABLO-1'!K4:K32873,"=Bildirimsiz",'[7]TABLO-1'!I4:I32873,"=Uzun",'[7]TABLO-1'!D4:D32873,"=KOFÇAZ")/P8</f>
        <v>0</v>
      </c>
      <c r="K7" s="10">
        <f>SUMIFS('[7]TABLO-1'!Z4:Z32873,'[7]TABLO-1'!H4:H32873,"=İletim",'[7]TABLO-1'!J4:J32873,"=Mücbir Sebep",'[7]TABLO-1'!K4:K32873,"=Bildirimsiz",'[7]TABLO-1'!I4:I32873,"=Uzun",'[7]TABLO-1'!D4:D32873,"=KOFÇAZ")/P14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4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İşletmecisi",'[7]TABLO-1'!K4:K32873,"=Bildirimsiz",'[7]TABLO-1'!I4:I32873,"=Uzun",'[7]TABLO-1'!D4:D32873,"=KOFÇAZ")/P6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İşletmecisi",'[7]TABLO-1'!K4:K32873,"=Bildirimsiz",'[7]TABLO-1'!I4:I32873,"=Uzun",'[7]TABLO-1'!D4:D32873,"=KOFÇAZ")/P12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İşletmecisi",'[7]TABLO-1'!K4:K32873,"=Bildirimsiz",'[7]TABLO-1'!I4:I32873,"=Uzun",'[7]TABLO-1'!D4:D32873,"=KOFÇAZ")/P7</f>
        <v>5.3125000002910383</v>
      </c>
      <c r="H8" s="10">
        <f>SUMIFS('[7]TABLO-1'!X4:X32873,'[7]TABLO-1'!H4:H32873,"=Dağıtım-OG",'[7]TABLO-1'!J4:J32873,"=Şebeke İşletmecisi",'[7]TABLO-1'!K4:K32873,"=Bildirimsiz",'[7]TABLO-1'!I4:I32873,"=Uzun",'[7]TABLO-1'!D4:D32873,"=KOFÇAZ")/P13</f>
        <v>29.191935482693758</v>
      </c>
      <c r="I8" s="10">
        <f t="shared" si="1"/>
        <v>28.957248156085377</v>
      </c>
      <c r="J8" s="10">
        <f>SUMIFS('[7]TABLO-1'!Y4:Y32873,'[7]TABLO-1'!H4:H32873,"=Dağıtım-OG",'[7]TABLO-1'!J4:J32873,"=Şebeke İşletmecisi",'[7]TABLO-1'!K4:K32873,"=Bildirimsiz",'[7]TABLO-1'!I4:I32873,"=Uzun",'[7]TABLO-1'!D4:D32873,"=KOFÇAZ")/P8</f>
        <v>214.80238095291756</v>
      </c>
      <c r="K8" s="10">
        <f>SUMIFS('[7]TABLO-1'!Z4:Z32873,'[7]TABLO-1'!H4:H32873,"=Dağıtım-OG",'[7]TABLO-1'!J4:J32873,"=Şebeke İşletmecisi",'[7]TABLO-1'!K4:K32873,"=Bildirimsiz",'[7]TABLO-1'!I4:I32873,"=Uzun",'[7]TABLO-1'!D4:D32873,"=KOFÇAZ")/P14</f>
        <v>169.29466666688242</v>
      </c>
      <c r="L8" s="10">
        <f t="shared" si="2"/>
        <v>170.55460338409631</v>
      </c>
      <c r="M8" s="11">
        <f t="shared" si="3"/>
        <v>140.60131670124784</v>
      </c>
      <c r="O8" s="20" t="s">
        <v>36</v>
      </c>
      <c r="P8" s="53">
        <v>42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SUMIFS('[7]TABLO-1'!U4:U32873,'[7]TABLO-1'!H4:H32873,"=Dağıtım-OG",'[7]TABLO-1'!J4:J32873,"=Dışsal",'[7]TABLO-1'!K4:K32873,"=Bildirimsiz",'[7]TABLO-1'!I4:I32873,"=Uzun",'[7]TABLO-1'!D4:D32873,"=KOFÇAZ")/P6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SUMIFS('[7]TABLO-1'!V4:V32873,'[7]TABLO-1'!H4:H32873,"=Dağıtım-OG",'[7]TABLO-1'!J4:J32873,"=Dışsal",'[7]TABLO-1'!K4:K32873,"=Bildirimsiz",'[7]TABLO-1'!I4:I32873,"=Uzun",'[7]TABLO-1'!D4:D32873,"=KOFÇAZ")/P12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SUMIFS('[7]TABLO-1'!W4:W32873,'[7]TABLO-1'!H4:H32873,"=Dağıtım-OG",'[7]TABLO-1'!J4:J32873,"=Dışsal",'[7]TABLO-1'!K4:K32873,"=Bildirimsiz",'[7]TABLO-1'!I4:I32873,"=Uzun",'[7]TABLO-1'!D4:D32873,"=KOFÇAZ")/P7</f>
        <v>0</v>
      </c>
      <c r="H9" s="10">
        <f>SUMIFS('[7]TABLO-1'!X4:X32873,'[7]TABLO-1'!H4:H32873,"=Dağıtım-OG",'[7]TABLO-1'!J4:J32873,"=Dışsal",'[7]TABLO-1'!K4:K32873,"=Bildirimsiz",'[7]TABLO-1'!I4:I32873,"=Uzun",'[7]TABLO-1'!D4:D32873,"=KOFÇAZ")/P13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SUMIFS('[7]TABLO-1'!Y4:Y32873,'[7]TABLO-1'!H4:H32873,"=Dağıtım-OG",'[7]TABLO-1'!J4:J32873,"=Dışsal",'[7]TABLO-1'!K4:K32873,"=Bildirimsiz",'[7]TABLO-1'!I4:I32873,"=Uzun",'[7]TABLO-1'!D4:D32873,"=KOFÇAZ")/P8</f>
        <v>0</v>
      </c>
      <c r="K9" s="10">
        <f>SUMIFS('[7]TABLO-1'!Z4:Z32873,'[7]TABLO-1'!H4:H32873,"=Dağıtım-OG",'[7]TABLO-1'!J4:J32873,"=Dışsal",'[7]TABLO-1'!K4:K32873,"=Bildirimsiz",'[7]TABLO-1'!I4:I32873,"=Uzun",'[7]TABLO-1'!D4:D32873,"=KOFÇAZ")/P14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46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Sebep",'[7]TABLO-1'!K4:K32873,"=Bildirimsiz",'[7]TABLO-1'!I4:I32873,"=Uzun",'[7]TABLO-1'!D4:D32873,"=KOFÇAZ")/P6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Sebep",'[7]TABLO-1'!K4:K32873,"=Bildirimsiz",'[7]TABLO-1'!I4:I32873,"=Uzun",'[7]TABLO-1'!D4:D32873,"=KOFÇAZ")/P12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Sebep",'[7]TABLO-1'!K4:K32873,"=Bildirimsiz",'[7]TABLO-1'!I4:I32873,"=Uzun",'[7]TABLO-1'!D4:D32873,"=KOFÇAZ")/P7</f>
        <v>0</v>
      </c>
      <c r="H10" s="10">
        <f>SUMIFS('[7]TABLO-1'!X4:X32873,'[7]TABLO-1'!H4:H32873,"=Dağıtım-OG",'[7]TABLO-1'!J4:J32873,"=Mücbir Sebep",'[7]TABLO-1'!K4:K32873,"=Bildirimsiz",'[7]TABLO-1'!I4:I32873,"=Uzun",'[7]TABLO-1'!D4:D32873,"=KOFÇAZ")/P13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Sebep",'[7]TABLO-1'!K4:K32873,"=Bildirimsiz",'[7]TABLO-1'!I4:I32873,"=Uzun",'[7]TABLO-1'!D4:D32873,"=KOFÇAZ")/P8</f>
        <v>0</v>
      </c>
      <c r="K10" s="10">
        <f>SUMIFS('[7]TABLO-1'!Z4:Z32873,'[7]TABLO-1'!H4:H32873,"=Dağıtım-OG",'[7]TABLO-1'!J4:J32873,"=Mücbir Sebep",'[7]TABLO-1'!K4:K32873,"=Bildirimsiz",'[7]TABLO-1'!I4:I32873,"=Uzun",'[7]TABLO-1'!D4:D32873,"=KOFÇAZ")/P14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SUMIFS('[7]TABLO-1'!U4:U32873,'[7]TABLO-1'!H4:H32873,"=Dağıtım-OG",'[7]TABLO-1'!J4:J32873,"=Güvenlik",'[7]TABLO-1'!K4:K32873,"=Bildirimsiz",'[7]TABLO-1'!I4:I32873,"=Uzun",'[7]TABLO-1'!D4:D32873,"=KOFÇAZ")/P6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SUMIFS('[7]TABLO-1'!V4:V32873,'[7]TABLO-1'!H4:H32873,"=Dağıtım-OG",'[7]TABLO-1'!J4:J32873,"=Güvenlik",'[7]TABLO-1'!K4:K32873,"=Bildirimsiz",'[7]TABLO-1'!I4:I32873,"=Uzun",'[7]TABLO-1'!D4:D32873,"=KOFÇAZ")/P12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SUMIFS('[7]TABLO-1'!W4:W32873,'[7]TABLO-1'!H4:H32873,"=Dağıtım-OG",'[7]TABLO-1'!J4:J32873,"=Güvenlik",'[7]TABLO-1'!K4:K32873,"=Bildirimsiz",'[7]TABLO-1'!I4:I32873,"=Uzun",'[7]TABLO-1'!D4:D32873,"=KOFÇAZ")/P7</f>
        <v>0</v>
      </c>
      <c r="H11" s="10">
        <f>SUMIFS('[7]TABLO-1'!X4:X32873,'[7]TABLO-1'!H4:H32873,"=Dağıtım-OG",'[7]TABLO-1'!J4:J32873,"=Güvenlik",'[7]TABLO-1'!K4:K32873,"=Bildirimsiz",'[7]TABLO-1'!I4:I32873,"=Uzun",'[7]TABLO-1'!D4:D32873,"=KOFÇAZ")/P13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SUMIFS('[7]TABLO-1'!Y4:Y32873,'[7]TABLO-1'!H4:H32873,"=Dağıtım-OG",'[7]TABLO-1'!J4:J32873,"=Güvenlik",'[7]TABLO-1'!K4:K32873,"=Bildirimsiz",'[7]TABLO-1'!I4:I32873,"=Uzun",'[7]TABLO-1'!D4:D32873,"=KOFÇAZ")/P8</f>
        <v>0</v>
      </c>
      <c r="K11" s="10">
        <f>SUMIFS('[7]TABLO-1'!Z4:Z32873,'[7]TABLO-1'!H4:H32873,"=Dağıtım-OG",'[7]TABLO-1'!J4:J32873,"=Güvenlik",'[7]TABLO-1'!K4:K32873,"=Bildirimsiz",'[7]TABLO-1'!I4:I32873,"=Uzun",'[7]TABLO-1'!D4:D32873,"=KOFÇAZ")/P14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İşletmecisi",'[7]TABLO-1'!K4:K32873,"=Bildirimsiz",'[7]TABLO-1'!I4:I32873,"=Uzun",'[7]TABLO-1'!D4:D32873,"=KOFÇAZ")/P6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işletmecisi",'[7]TABLO-1'!K4:K32873,"=Bildirimsiz",'[7]TABLO-1'!I4:I32873,"=Uzun",'[7]TABLO-1'!D4:D32873,"=KOFÇAZ")/P12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İşletmecisi",'[7]TABLO-1'!K4:K32873,"=Bildirimsiz",'[7]TABLO-1'!I4:I32873,"=Uzun",'[7]TABLO-1'!D4:D32873,"=KOFÇAZ")/P7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İşletmecisi",'[7]TABLO-1'!K4:K32873,"=Bildirimsiz",'[7]TABLO-1'!I4:I32873,"=Uzun",'[7]TABLO-1'!D4:D32873,"=KOFÇAZ")/P13</f>
        <v>14.133043838000484</v>
      </c>
      <c r="I12" s="10">
        <f t="shared" si="1"/>
        <v>13.994144144260922</v>
      </c>
      <c r="J12" s="12">
        <f>SUMIFS('[7]TABLO-1'!Y4:Y32873,'[7]TABLO-1'!H4:H32873,"=Dağıtım-AG",'[7]TABLO-1'!J4:J32873,"=Şebeke İşletmecisi",'[7]TABLO-1'!K4:K32873,"=Bildirimsiz",'[7]TABLO-1'!I4:I32873,"=Uzun",'[7]TABLO-1'!D4:D32873,"=KOFÇAZ")/P8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İşletmecisi",'[7]TABLO-1'!K4:K32873,"=Bildirimsiz",'[7]TABLO-1'!I4:I32873,"=Uzun",'[7]TABLO-1'!D4:D32873,"=KOFÇAZ")/P14</f>
        <v>3.5287909604064427</v>
      </c>
      <c r="L12" s="10">
        <f t="shared" si="2"/>
        <v>3.4310920676331595</v>
      </c>
      <c r="M12" s="11">
        <f t="shared" si="3"/>
        <v>5.665583853073648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SUMIFS('[7]TABLO-1'!U4:U32873,'[7]TABLO-1'!H4:H32873,"=Dağıtım-AG",'[7]TABLO-1'!J4:J32873,"=Dışsal",'[7]TABLO-1'!K4:K32873,"=Bildirimsiz",'[7]TABLO-1'!I4:I32873,"=Uzun",'[7]TABLO-1'!D4:D32873,"=KOFÇAZ")/P6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SUMIFS('[7]TABLO-1'!V4:V32873,'[7]TABLO-1'!H4:H32873,"=Dağıtım-AG",'[7]TABLO-1'!J4:J32873,"=Dışsal",'[7]TABLO-1'!K4:K32873,"=Bildirimsiz",'[7]TABLO-1'!I4:I32873,"=Uzun",'[7]TABLO-1'!D4:D32873,"=KOFÇAZ")/P12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SUMIFS('[7]TABLO-1'!W4:W32873,'[7]TABLO-1'!H4:H32873,"=Dağıtım-AG",'[7]TABLO-1'!J4:J32873,"=Dışsal",'[7]TABLO-1'!K4:K32873,"=Bildirimsiz",'[7]TABLO-1'!I4:I32873,"=Uzun",'[7]TABLO-1'!D4:D32873,"=KOFÇAZ")/P7</f>
        <v>0</v>
      </c>
      <c r="H13" s="10">
        <f>SUMIFS('[7]TABLO-1'!X4:X32873,'[7]TABLO-1'!H4:H32873,"=Dağıtım-AG",'[7]TABLO-1'!J4:J32873,"=Dışsal",'[7]TABLO-1'!K4:K32873,"=Bildirimsiz",'[7]TABLO-1'!I4:I32873,"=Uzun",'[7]TABLO-1'!D4:D32873,"=KOFÇAZ")/P13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SUMIFS('[7]TABLO-1'!Y4:Y32873,'[7]TABLO-1'!H4:H32873,"=Dağıtım-AG",'[7]TABLO-1'!J4:J32873,"=Dışsal",'[7]TABLO-1'!K4:K32873,"=Bildirimsiz",'[7]TABLO-1'!I4:I32873,"=Uzun",'[7]TABLO-1'!D4:D32873,"=KOFÇAZ")/P8</f>
        <v>0</v>
      </c>
      <c r="K13" s="10">
        <f>SUMIFS('[7]TABLO-1'!Z4:Z32873,'[7]TABLO-1'!H4:H32873,"=Dağıtım-AG",'[7]TABLO-1'!J4:J32873,"=Dışsal",'[7]TABLO-1'!K4:K32873,"=Bildirimsiz",'[7]TABLO-1'!I4:I32873,"=Uzun",'[7]TABLO-1'!D4:D32873,"=KOFÇAZ")/P14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403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Sebep",'[7]TABLO-1'!K4:K32873,"=Bildirimsiz",'[7]TABLO-1'!I4:I32873,"=Uzun",'[7]TABLO-1'!D4:D32873,"=KOFÇAZ")/P6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Sebep",'[7]TABLO-1'!K4:K32873,"=Bildirimsiz",'[7]TABLO-1'!I4:I32873,"=Uzun",'[7]TABLO-1'!D4:D32873,"=KOFÇAZ")/P12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Sebep",'[7]TABLO-1'!K4:K32873,"=Bildirimsiz",'[7]TABLO-1'!I4:I32873,"=Uzun",'[7]TABLO-1'!D4:D32873,"=KOFÇAZ")/P7</f>
        <v>0</v>
      </c>
      <c r="H14" s="10">
        <f>SUMIFS('[7]TABLO-1'!X4:X32873,'[7]TABLO-1'!H4:H32873,"=Dağıtım-AG",'[7]TABLO-1'!J4:J32873,"=Mücbir Sebep",'[7]TABLO-1'!K4:K32873,"=Bildirimsiz",'[7]TABLO-1'!I4:I32873,"=Uzun",'[7]TABLO-1'!D4:D32873,"=KOFÇAZ")/P13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Sebep",'[7]TABLO-1'!K4:K32873,"=Bildirimsiz",'[7]TABLO-1'!I4:I32873,"=Uzun",'[7]TABLO-1'!D4:D32873,"=KOFÇAZ")/P8</f>
        <v>0</v>
      </c>
      <c r="K14" s="10">
        <f>SUMIFS('[7]TABLO-1'!Z4:Z32873,'[7]TABLO-1'!H4:H32873,"=Dağıtım-AG",'[7]TABLO-1'!J4:J32873,"=Mücbir Sebep",'[7]TABLO-1'!K4:K32873,"=Bildirimsiz",'[7]TABLO-1'!I4:I32873,"=Uzun",'[7]TABLO-1'!D4:D32873,"=KOFÇAZ")/P14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1475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SUMIFS('[7]TABLO-1'!U4:U32873,'[7]TABLO-1'!H4:H32873,"=Dağıtım-AG",'[7]TABLO-1'!J4:J32873,"=Güvenlik",'[7]TABLO-1'!K4:K32873,"=Bildirimsiz",'[7]TABLO-1'!I4:I32873,"=Uzun",'[7]TABLO-1'!D4:D32873,"=KOFÇAZ")/P6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SUMIFS('[7]TABLO-1'!V4:V32873,'[7]TABLO-1'!H4:H32873,"=Dağıtım-AG",'[7]TABLO-1'!J4:J32873,"=Güvenlik",'[7]TABLO-1'!K4:K32873,"=Bildirimsiz",'[7]TABLO-1'!I4:I32873,"=Uzun",'[7]TABLO-1'!D4:D32873,"=KOFÇAZ")/P12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SUMIFS('[7]TABLO-1'!W4:W32873,'[7]TABLO-1'!H4:H32873,"=Dağıtım-AG",'[7]TABLO-1'!J4:J32873,"=Güvenlik",'[7]TABLO-1'!K4:K32873,"=Bildirimsiz",'[7]TABLO-1'!I4:I32873,"=Uzun",'[7]TABLO-1'!D4:D32873,"=KOFÇAZ")/P7</f>
        <v>0</v>
      </c>
      <c r="H15" s="10">
        <f>SUMIFS('[7]TABLO-1'!X4:X32873,'[7]TABLO-1'!H4:H32873,"=Dağıtım-AG",'[7]TABLO-1'!J4:J32873,"=Güvenlik",'[7]TABLO-1'!K4:K32873,"=Bildirimsiz",'[7]TABLO-1'!I4:I32873,"=Uzun",'[7]TABLO-1'!D4:D32873,"=KOFÇAZ")/P13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SUMIFS('[7]TABLO-1'!Y4:Y32873,'[7]TABLO-1'!H4:H32873,"=Dağıtım-AG",'[7]TABLO-1'!J4:J32873,"=Güvenlik",'[7]TABLO-1'!K4:K32873,"=Bildirimsiz",'[7]TABLO-1'!I4:I32873,"=Uzun",'[7]TABLO-1'!D4:D32873,"=KOFÇAZ")/P8</f>
        <v>0</v>
      </c>
      <c r="K15" s="10">
        <f>SUMIFS('[7]TABLO-1'!Z4:Z32873,'[7]TABLO-1'!H4:H32873,"=Dağıtım-AG",'[7]TABLO-1'!J4:J32873,"=Güvenlik",'[7]TABLO-1'!K4:K32873,"=Bildirimsiz",'[7]TABLO-1'!I4:I32873,"=Uzun",'[7]TABLO-1'!D4:D32873,"=KOFÇAZ")/P14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1878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5.3125000002910383</v>
      </c>
      <c r="H16" s="10">
        <f t="shared" si="4"/>
        <v>43.32497932069424</v>
      </c>
      <c r="I16" s="10">
        <f t="shared" si="4"/>
        <v>42.951392300346299</v>
      </c>
      <c r="J16" s="10">
        <f>SUM(J6:J15)</f>
        <v>214.80238095291756</v>
      </c>
      <c r="K16" s="10">
        <f>SUM(K6:K15)</f>
        <v>172.82345762728886</v>
      </c>
      <c r="L16" s="10">
        <f>SUM(L6:L15)</f>
        <v>173.98569545172947</v>
      </c>
      <c r="M16" s="11">
        <f t="shared" si="4"/>
        <v>146.2669005543215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407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İşletmecisi",'[7]TABLO-1'!K4:K32873,"=Bildirimli",'[7]TABLO-1'!I4:I32873,"=Uzun",'[7]TABLO-1'!D4:D32873,"=KOFÇAZ")/P6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İşletmecisi",'[7]TABLO-1'!K4:K32873,"=Bildirimli",'[7]TABLO-1'!I4:I32873,"=Uzun",'[7]TABLO-1'!D4:D32873,"=KOFÇAZ")/P12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İşletmecisi",'[7]TABLO-1'!K4:K32873,"=Bildirimli",'[7]TABLO-1'!I4:I32873,"=Uzun",'[7]TABLO-1'!D4:D32873,"=KOFÇAZ")/P7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İşletmecisi",'[7]TABLO-1'!K4:K32873,"=Bildirimli",'[7]TABLO-1'!I4:I32873,"=Uzun",'[7]TABLO-1'!D4:D32873,"=KOFÇAZ")/P13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İşletmecisi",'[7]TABLO-1'!K4:K32873,"=Bildirimli",'[7]TABLO-1'!I4:I32873,"=Uzun",'[7]TABLO-1'!D4:D32873,"=KOFÇAZ")/P8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İşletmecisi",'[7]TABLO-1'!K4:K32873,"=Bildirimli",'[7]TABLO-1'!I4:I32873,"=Uzun",'[7]TABLO-1'!D4:D32873,"=KOFÇAZ")/P14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İşletmecisi",'[7]TABLO-1'!K4:K32873,"=Bildirimli",'[7]TABLO-1'!I4:I32873,"=Uzun",'[7]TABLO-1'!D4:D32873,"=KOFÇAZ")/P6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İşletmecisi",'[7]TABLO-1'!K4:K32873,"=Bildirimli",'[7]TABLO-1'!I4:I32873,"=Uzun",'[7]TABLO-1'!D4:D32873,"=KOFÇAZ")/P12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İşletmecisi",'[7]TABLO-1'!K4:K32873,"=Bildirimli",'[7]TABLO-1'!I4:I32873,"=Uzun",'[7]TABLO-1'!D4:D32873,"=KOFÇAZ")/P7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İşletmecisi",'[7]TABLO-1'!K4:K32873,"=Bildirimli",'[7]TABLO-1'!I4:I32873,"=Uzun",'[7]TABLO-1'!D4:D32873,"=KOFÇAZ")/P13</f>
        <v>0</v>
      </c>
      <c r="I22" s="10">
        <f t="shared" ref="I22:I25" si="6">IFERROR((((G22*$P$7)+(H22*$P$13))/$P$20),"0,00")</f>
        <v>0</v>
      </c>
      <c r="J22" s="10">
        <f>SUMIFS('[7]TABLO-1'!Y4:Y32873,'[7]TABLO-1'!H4:H32873,"=Dağıtım-OG",'[7]TABLO-1'!J4:J32873,"=Şebeke İşletmecisi",'[7]TABLO-1'!K4:K32873,"=Bildirimli",'[7]TABLO-1'!I4:I32873,"=Uzun",'[7]TABLO-1'!D4:D32873,"=KOFÇAZ")/P8</f>
        <v>0</v>
      </c>
      <c r="K22" s="10">
        <f>SUMIFS('[7]TABLO-1'!Z4:Z32873,'[7]TABLO-1'!H4:H32873,"=Dağıtım-OG",'[7]TABLO-1'!J4:J32873,"=Şebeke İşletmecisi",'[7]TABLO-1'!K4:K32873,"=Bildirimli",'[7]TABLO-1'!I4:I32873,"=Uzun",'[7]TABLO-1'!D4:D32873,"=KOFÇAZ")/P14</f>
        <v>0</v>
      </c>
      <c r="L22" s="10">
        <f t="shared" ref="L22:L25" si="7">IFERROR((((J22*$P$8)+(K22*$P$14))/$P$23),"0,00")</f>
        <v>0</v>
      </c>
      <c r="M22" s="11">
        <f t="shared" ref="M22:M25" si="8">IFERROR((((F22*$P$17)+(I22*$P$20)+(L22*$P$23))/$P$26),"0,00")</f>
        <v>0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SUMIFS('[7]TABLO-1'!U4:U32873,'[7]TABLO-1'!H4:H32873,"=Dağıtım-OG",'[7]TABLO-1'!J4:J32873,"=Güvenlik",'[7]TABLO-1'!K4:K32873,"=Bildirimli",'[7]TABLO-1'!I4:I32873,"=Uzun",'[7]TABLO-1'!D4:D32873,"=KOFÇAZ")/P6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SUMIFS('[7]TABLO-1'!V4:V32873,'[7]TABLO-1'!H4:H32873,"=Dağıtım-OG",'[7]TABLO-1'!J4:J32873,"=Güvenlik",'[7]TABLO-1'!K4:K32873,"=Bildirimli",'[7]TABLO-1'!I4:I32873,"=Uzun",'[7]TABLO-1'!D4:D32873,"=KOFÇAZ")/P12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SUMIFS('[7]TABLO-1'!W4:W32873,'[7]TABLO-1'!H4:H32873,"=Dağıtım-OG",'[7]TABLO-1'!J4:J32873,"=Güvenlik",'[7]TABLO-1'!K4:K32873,"=Bildirimli",'[7]TABLO-1'!I4:I32873,"=Uzun",'[7]TABLO-1'!D4:D32873,"=KOFÇAZ")/P7</f>
        <v>0</v>
      </c>
      <c r="H23" s="10">
        <f>SUMIFS('[7]TABLO-1'!X4:X32873,'[7]TABLO-1'!H4:H32873,"=Dağıtım-OG",'[7]TABLO-1'!J4:J32873,"=Güvenlik",'[7]TABLO-1'!K4:K32873,"=Bildirimli",'[7]TABLO-1'!I4:I32873,"=Uzun",'[7]TABLO-1'!D4:D32873,"=KOFÇAZ")/P13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SUMIFS('[7]TABLO-1'!Y4:Y32873,'[7]TABLO-1'!H4:H32873,"=Dağıtım-OG",'[7]TABLO-1'!J4:J32873,"=Güvenlik",'[7]TABLO-1'!K4:K32873,"=Bildirimli",'[7]TABLO-1'!I4:I32873,"=Uzun",'[7]TABLO-1'!D4:D32873,"=KOFÇAZ")/P8</f>
        <v>0</v>
      </c>
      <c r="K23" s="10">
        <f>SUMIFS('[7]TABLO-1'!Z4:Z32873,'[7]TABLO-1'!H4:H32873,"=Dağıtım-OG",'[7]TABLO-1'!J4:J32873,"=Güvenlik",'[7]TABLO-1'!K4:K32873,"=Bildirimli",'[7]TABLO-1'!I4:I32873,"=Uzun",'[7]TABLO-1'!D4:D32873,"=KOFÇAZ")/P14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1517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İşletmecisi",'[7]TABLO-1'!K4:K32873,"=Bildirimli",'[7]TABLO-1'!I4:I32873,"=Uzun",'[7]TABLO-1'!D4:D32873,"=KOFÇAZ")/P6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İşletmecisi",'[7]TABLO-1'!K4:K32873,"=Bildirimli",'[7]TABLO-1'!I4:I32873,"=Uzun",'[7]TABLO-1'!D4:D32873,"=KOFÇAZ")/P12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İşletmecisi",'[7]TABLO-1'!K4:K32873,"=Bildirimli",'[7]TABLO-1'!I4:I32873,"=Uzun",'[7]TABLO-1'!D4:D32873,"=KOFÇAZ")/P7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İşletmecisi",'[7]TABLO-1'!K4:K32873,"=Bildirimli",'[7]TABLO-1'!I4:I32873,"=Uzun",'[7]TABLO-1'!D4:D32873,"=KOFÇAZ")/P13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İşletmecisi",'[7]TABLO-1'!K4:K32873,"=Bildirimli",'[7]TABLO-1'!I4:I32873,"=Uzun",'[7]TABLO-1'!D4:D32873,"=KOFÇAZ")/P8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İşletmecisi",'[7]TABLO-1'!K4:K32873,"=Bildirimli",'[7]TABLO-1'!I4:I32873,"=Uzun",'[7]TABLO-1'!D4:D32873,"=KOFÇAZ")/P14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SUMIFS('[7]TABLO-1'!U4:U32873,'[7]TABLO-1'!H4:H32873,"=Dağıtım-AG",'[7]TABLO-1'!J4:J32873,"=Güvenlik",'[7]TABLO-1'!K4:K32873,"=Bildirimli",'[7]TABLO-1'!I4:I32873,"=Uzun",'[7]TABLO-1'!D4:D32873,"=KOFÇAZ")/P6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SUMIFS('[7]TABLO-1'!V4:V32873,'[7]TABLO-1'!H4:H32873,"=Dağıtım-AG",'[7]TABLO-1'!J4:J32873,"=Güvenlik",'[7]TABLO-1'!K4:K32873,"=Bildirimli",'[7]TABLO-1'!I4:I32873,"=Uzun",'[7]TABLO-1'!D4:D32873,"=KOFÇAZ")/P12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SUMIFS('[7]TABLO-1'!W4:W32873,'[7]TABLO-1'!H4:H32873,"=Dağıtım-AG",'[7]TABLO-1'!J4:J32873,"=Güvenlik",'[7]TABLO-1'!K4:K32873,"=Bildirimli",'[7]TABLO-1'!I4:I32873,"=Uzun",'[7]TABLO-1'!D4:D32873,"=KOFÇAZ")/P7</f>
        <v>0</v>
      </c>
      <c r="H25" s="10">
        <f>SUMIFS('[7]TABLO-1'!X4:X32873,'[7]TABLO-1'!H4:H32873,"=Dağıtım-AG",'[7]TABLO-1'!J4:J32873,"=Güvenlik",'[7]TABLO-1'!K4:K32873,"=Bildirimli",'[7]TABLO-1'!I4:I32873,"=Uzun",'[7]TABLO-1'!D4:D32873,"=KOFÇAZ")/P13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SUMIFS('[7]TABLO-1'!Y4:Y32873,'[7]TABLO-1'!H4:H32873,"=Dağıtım-AG",'[7]TABLO-1'!J4:J32873,"=Güvenlik",'[7]TABLO-1'!K4:K32873,"=Bildirimli",'[7]TABLO-1'!I4:I32873,"=Uzun",'[7]TABLO-1'!D4:D32873,"=KOFÇAZ")/P8</f>
        <v>0</v>
      </c>
      <c r="K25" s="10">
        <f>SUMIFS('[7]TABLO-1'!Z4:Z32873,'[7]TABLO-1'!H4:H32873,"=Dağıtım-AG",'[7]TABLO-1'!J4:J32873,"=Güvenlik",'[7]TABLO-1'!K4:K32873,"=Bildirimli",'[7]TABLO-1'!I4:I32873,"=Uzun",'[7]TABLO-1'!D4:D32873,"=KOFÇAZ")/P14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0</v>
      </c>
      <c r="I26" s="10">
        <f t="shared" si="9"/>
        <v>0</v>
      </c>
      <c r="J26" s="10">
        <f t="shared" si="9"/>
        <v>0</v>
      </c>
      <c r="K26" s="10">
        <f t="shared" si="9"/>
        <v>0</v>
      </c>
      <c r="L26" s="10">
        <f t="shared" si="9"/>
        <v>0</v>
      </c>
      <c r="M26" s="11">
        <f t="shared" si="9"/>
        <v>0</v>
      </c>
      <c r="O26" s="43" t="s">
        <v>22</v>
      </c>
      <c r="P26" s="44">
        <f>P20+P17+P23</f>
        <v>1924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İşletmecisi",'[7]TABLO-1'!K4:K32873,"=Bildirimsiz",'[7]TABLO-1'!I4:I32873,"=Uzun",'[7]TABLO-1'!D4:D32873,"=KOFÇAZ")/P6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İşletmecisi",'[7]TABLO-1'!K4:K32873,"=Bildirimsiz",'[7]TABLO-1'!I4:I32873,"=Uzun",'[7]TABLO-1'!D4:D32873,"=KOFÇAZ")/P12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İşletmecisi",'[7]TABLO-1'!K4:K32873,"=Bildirimsiz",'[7]TABLO-1'!I4:I32873,"=Uzun",'[7]TABLO-1'!D4:D32873,"=KOFÇAZ")/P7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İşletmecisi",'[7]TABLO-1'!K4:K32873,"=Bildirimsiz",'[7]TABLO-1'!I4:I32873,"=Uzun",'[7]TABLO-1'!D4:D32873,"=KOFÇAZ")/P13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İşletmecisi",'[7]TABLO-1'!K4:K32873,"=Bildirimsiz",'[7]TABLO-1'!I4:I32873,"=Uzun",'[7]TABLO-1'!D4:D32873,"=KOFÇAZ")/P8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İşletmecisi",'[7]TABLO-1'!K4:K32873,"=bildirimsiz",'[7]TABLO-1'!I4:I32873,"=Uzun",'[7]TABLO-1'!D4:D32873,"=KOFÇAZ")/P14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Sebep",'[7]TABLO-1'!K4:K32873,"=Bildirimsiz",'[7]TABLO-1'!I4:I32873,"=Uzun",'[7]TABLO-1'!D4:D32873,"=KOFÇAZ")/P6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Sebep",'[7]TABLO-1'!K4:K32873,"=Bildirimsiz",'[7]TABLO-1'!I4:I32873,"=Uzun",'[7]TABLO-1'!D4:D32873,"=KOFÇAZ")/P12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Sebep",'[7]TABLO-1'!K4:K32873,"=Bildirimsiz",'[7]TABLO-1'!I4:I32873,"=Uzun",'[7]TABLO-1'!D4:D32873,"=KOFÇAZ")/P7</f>
        <v>0</v>
      </c>
      <c r="H32" s="10">
        <f>SUMIFS('[7]TABLO-1'!R4:R32873,'[7]TABLO-1'!H4:H32873,"=İletim",'[7]TABLO-1'!J4:J32873,"=Mücbir Sebep",'[7]TABLO-1'!K4:K32873,"=Bildirimsiz",'[7]TABLO-1'!I4:I32873,"=Uzun",'[7]TABLO-1'!D4:D32873,"=KOFÇAZ")/P13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Sebep",'[7]TABLO-1'!K4:K32873,"=Bildirimsiz",'[7]TABLO-1'!I4:I32873,"=Uzun",'[7]TABLO-1'!D4:D32873,"=KOFÇAZ")/P8</f>
        <v>0</v>
      </c>
      <c r="K32" s="10">
        <f>SUMIFS('[7]TABLO-1'!T4:T32873,'[7]TABLO-1'!H4:H32873,"=İletim",'[7]TABLO-1'!J4:J32873,"=Mücbir Sebep",'[7]TABLO-1'!K4:K32873,"=bildirimsiz",'[7]TABLO-1'!I4:I32873,"=Uzun",'[7]TABLO-1'!D4:D32873,"=KOFÇAZ")/P14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İşletmecisi",'[7]TABLO-1'!K4:K32873,"=Bildirimsiz",'[7]TABLO-1'!I4:I32873,"=Uzun",'[7]TABLO-1'!D4:D32873,"=KOFÇAZ")/P6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İşletmecisi",'[7]TABLO-1'!K4:K32873,"=Bildirimsiz",'[7]TABLO-1'!I4:I32873,"=Uzun",'[7]TABLO-1'!D4:D32873,"=KOFÇAZ")/P12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İşletmecisi",'[7]TABLO-1'!K4:K32873,"=Bildirimsiz",'[7]TABLO-1'!I4:I32873,"=Uzun",'[7]TABLO-1'!D4:D32873,"=KOFÇAZ")/P7</f>
        <v>0.5</v>
      </c>
      <c r="H33" s="10">
        <f>SUMIFS('[7]TABLO-1'!R4:R32873,'[7]TABLO-1'!H4:H32873,"=Dağıtım-OG",'[7]TABLO-1'!J4:J32873,"=Şebeke İşletmecisi",'[7]TABLO-1'!K4:K32873,"=Bildirimsiz",'[7]TABLO-1'!I4:I32873,"=Uzun",'[7]TABLO-1'!D4:D32873,"=KOFÇAZ")/P13</f>
        <v>0.4143920595533499</v>
      </c>
      <c r="I33" s="10">
        <f t="shared" si="11"/>
        <v>0.41523341523341523</v>
      </c>
      <c r="J33" s="10">
        <f>SUMIFS('[7]TABLO-1'!S4:S32873,'[7]TABLO-1'!H4:H32873,"=Dağıtım-OG",'[7]TABLO-1'!J4:J32873,"=Şebeke İşletmecisi",'[7]TABLO-1'!K4:K32873,"=Bildirimsiz",'[7]TABLO-1'!I4:I32873,"=Uzun",'[7]TABLO-1'!D4:D32873,"=KOFÇAZ")/P8</f>
        <v>2.0714285714285716</v>
      </c>
      <c r="K33" s="10">
        <f>SUMIFS('[7]TABLO-1'!T4:T32873,'[7]TABLO-1'!H4:H32873,"=Dağıtım-OG",'[7]TABLO-1'!J4:J32873,"=Şebeke İşletmecisi",'[7]TABLO-1'!K4:K32873,"=bildirimsiz",'[7]TABLO-1'!I4:I32873,"=Uzun",'[7]TABLO-1'!D4:D32873,"=KOFÇAZ")/P14</f>
        <v>1.4922033898305085</v>
      </c>
      <c r="L33" s="10">
        <f t="shared" si="12"/>
        <v>1.5082399472643375</v>
      </c>
      <c r="M33" s="11">
        <f t="shared" si="13"/>
        <v>1.277027027027027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SUMIFS('[7]TABLO-1'!O4:O32873,'[7]TABLO-1'!H4:H32873,"=Dağıtım-OG",'[7]TABLO-1'!J4:J32873,"=Dışsal",'[7]TABLO-1'!K4:K32873,"=Bildirimsiz",'[7]TABLO-1'!I4:I32873,"=Uzun",'[7]TABLO-1'!D4:D32873,"=KOFÇAZ")/P6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SUMIFS('[7]TABLO-1'!P4:P32873,'[7]TABLO-1'!H4:H32873,"=Dağıtım-OG",'[7]TABLO-1'!J4:J32873,"=Dışsal",'[7]TABLO-1'!K4:K32873,"=Bildirimsiz",'[7]TABLO-1'!I4:I32873,"=Uzun",'[7]TABLO-1'!D4:D32873,"=KOFÇAZ")/P12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SUMIFS('[7]TABLO-1'!Q4:Q32873,'[7]TABLO-1'!H4:H32873,"=Dağıtım-OG",'[7]TABLO-1'!J4:J32873,"=Dışsal",'[7]TABLO-1'!K4:K32873,"=Bildirimsiz",'[7]TABLO-1'!I4:I32873,"=Uzun",'[7]TABLO-1'!D4:D32873,"=KOFÇAZ")/P7</f>
        <v>0</v>
      </c>
      <c r="H34" s="10">
        <f>SUMIFS('[7]TABLO-1'!R4:R32873,'[7]TABLO-1'!H4:H32873,"=Dağıtım-OG",'[7]TABLO-1'!J4:J32873,"=Dışsal",'[7]TABLO-1'!K4:K32873,"=Bildirimsiz",'[7]TABLO-1'!I4:I32873,"=Uzun",'[7]TABLO-1'!D4:D32873,"=KOFÇAZ")/P13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SUMIFS('[7]TABLO-1'!S4:S32873,'[7]TABLO-1'!H4:H32873,"=Dağıtım-OG",'[7]TABLO-1'!J4:J32873,"=Dışsal",'[7]TABLO-1'!K4:K32873,"=Bildirimsiz",'[7]TABLO-1'!I4:I32873,"=Uzun",'[7]TABLO-1'!D4:D32873,"=KOFÇAZ")/P8</f>
        <v>0</v>
      </c>
      <c r="K34" s="10">
        <f>SUMIFS('[7]TABLO-1'!T4:T32873,'[7]TABLO-1'!H4:H32873,"=Dağıtım-OG",'[7]TABLO-1'!J4:J32873,"=Dışsal",'[7]TABLO-1'!K4:K32873,"=bildirimsiz",'[7]TABLO-1'!I4:I32873,"=Uzun",'[7]TABLO-1'!D4:D32873,"=KOFÇAZ")/P14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Sebep",'[7]TABLO-1'!K4:K32873,"=Bildirimsiz",'[7]TABLO-1'!I4:I32873,"=Uzun",'[7]TABLO-1'!D4:D32873,"=KOFÇAZ")/P6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Sebep",'[7]TABLO-1'!K4:K32873,"=Bildirimsiz",'[7]TABLO-1'!I4:I32873,"=Uzun",'[7]TABLO-1'!D4:D32873,"=KOFÇAZ")/P12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Sebep",'[7]TABLO-1'!K4:K32873,"=Bildirimsiz",'[7]TABLO-1'!I4:I32873,"=Uzun",'[7]TABLO-1'!D4:D32873,"=KOFÇAZ")/P7</f>
        <v>0</v>
      </c>
      <c r="H35" s="10">
        <f>SUMIFS('[7]TABLO-1'!R4:R32873,'[7]TABLO-1'!H4:H32873,"=Dağıtım-OG",'[7]TABLO-1'!J4:J32873,"=Mücbir Sebep",'[7]TABLO-1'!K4:K32873,"=Bildirimsiz",'[7]TABLO-1'!I4:I32873,"=Uzun",'[7]TABLO-1'!D4:D32873,"=KOFÇAZ")/P13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Sebep",'[7]TABLO-1'!K4:K32873,"=Bildirimsiz",'[7]TABLO-1'!I4:I32873,"=Uzun",'[7]TABLO-1'!D4:D32873,"=KOFÇAZ")/P8</f>
        <v>0</v>
      </c>
      <c r="K35" s="10">
        <f>SUMIFS('[7]TABLO-1'!T4:T32873,'[7]TABLO-1'!H4:H32873,"=Dağıtım-OG",'[7]TABLO-1'!J4:J32873,"=Mücbir Sebep",'[7]TABLO-1'!K4:K32873,"=bildirimsiz",'[7]TABLO-1'!I4:I32873,"=Uzun",'[7]TABLO-1'!D4:D32873,"=KOFÇAZ")/P14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SUMIFS('[7]TABLO-1'!O4:O32873,'[7]TABLO-1'!H4:H32873,"=Dağıtım-OG",'[7]TABLO-1'!J4:J32873,"=Güvenlik",'[7]TABLO-1'!K4:K32873,"=Bildirimsiz",'[7]TABLO-1'!I4:I32873,"=Uzun",'[7]TABLO-1'!D4:D32873,"=KOFÇAZ")/P6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SUMIFS('[7]TABLO-1'!P4:P32873,'[7]TABLO-1'!H4:H32873,"=Dağıtım-OG",'[7]TABLO-1'!J4:J32873,"=Güvenlik",'[7]TABLO-1'!K4:K32873,"=Bildirimsiz",'[7]TABLO-1'!I4:I32873,"=Uzun",'[7]TABLO-1'!D4:D32873,"=KOFÇAZ")/P12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SUMIFS('[7]TABLO-1'!Q4:Q32873,'[7]TABLO-1'!H4:H32873,"=Dağıtım-OG",'[7]TABLO-1'!J4:J32873,"=Güvenlik",'[7]TABLO-1'!K4:K32873,"=Bildirimsiz",'[7]TABLO-1'!I4:I32873,"=Uzun",'[7]TABLO-1'!D4:D32873,"=KOFÇAZ")/P7</f>
        <v>0</v>
      </c>
      <c r="H36" s="10">
        <f>SUMIFS('[7]TABLO-1'!R4:R32873,'[7]TABLO-1'!H4:H32873,"=Dağıtım-OG",'[7]TABLO-1'!J4:J32873,"=Güvenlik",'[7]TABLO-1'!K4:K32873,"=Bildirimsiz",'[7]TABLO-1'!I4:I32873,"=Uzun",'[7]TABLO-1'!D4:D32873,"=KOFÇAZ")/P13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SUMIFS('[7]TABLO-1'!S4:S32873,'[7]TABLO-1'!H4:H32873,"=Dağıtım-OG",'[7]TABLO-1'!J4:J32873,"=Güvenlik",'[7]TABLO-1'!K4:K32873,"=Bildirimsiz",'[7]TABLO-1'!I4:I32873,"=Uzun",'[7]TABLO-1'!D4:D32873,"=KOFÇAZ")/P8</f>
        <v>0</v>
      </c>
      <c r="K36" s="10">
        <f>SUMIFS('[7]TABLO-1'!T4:T32873,'[7]TABLO-1'!H4:H32873,"=Dağıtım-OG",'[7]TABLO-1'!J4:J32873,"=Güvenlik",'[7]TABLO-1'!K4:K32873,"=bildirimsiz",'[7]TABLO-1'!I4:I32873,"=Uzun",'[7]TABLO-1'!D4:D32873,"=KOFÇAZ")/P14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İşletmecisi",'[7]TABLO-1'!K4:K32873,"=Bildirimsiz",'[7]TABLO-1'!I4:I32873,"=Uzun",'[7]TABLO-1'!D4:D32873,"=KOFÇAZ")/P6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İşletmecisi",'[7]TABLO-1'!K4:K32873,"=Bildirimsiz",'[7]TABLO-1'!I4:I32873,"=Uzun",'[7]TABLO-1'!D4:D32873,"=KOFÇAZ")/P12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İşletmecisi",'[7]TABLO-1'!K4:K32873,"=Bildirimsiz",'[7]TABLO-1'!I4:I32873,"=Uzun",'[7]TABLO-1'!D4:D32873,"=KOFÇAZ")/P7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İşletmecisi",'[7]TABLO-1'!K4:K32873,"=Bildirimsiz",'[7]TABLO-1'!I4:I32873,"=Uzun",'[7]TABLO-1'!D4:D32873,"=KOFÇAZ")/P13</f>
        <v>0.17866004962779156</v>
      </c>
      <c r="I37" s="10">
        <f t="shared" si="11"/>
        <v>0.1769041769041769</v>
      </c>
      <c r="J37" s="12">
        <f>SUMIFS('[7]TABLO-1'!S4:S32873,'[7]TABLO-1'!H4:H32873,"=Dağıtım-AG",'[7]TABLO-1'!J4:J32873,"=Şebeke İşletmecisi",'[7]TABLO-1'!K4:K32873,"=Bildirimsiz",'[7]TABLO-1'!I4:I32873,"=Uzun",'[7]TABLO-1'!D4:D32873,"=KOFÇAZ")/P8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İşletmecisi",'[7]TABLO-1'!K4:K32873,"=bildirimsiz",'[7]TABLO-1'!I4:I32873,"=Uzun",'[7]TABLO-1'!D4:D32873,"=KOFÇAZ")/P14</f>
        <v>3.3220338983050844E-2</v>
      </c>
      <c r="L37" s="10">
        <f t="shared" si="12"/>
        <v>3.2300593276203028E-2</v>
      </c>
      <c r="M37" s="11">
        <f t="shared" si="13"/>
        <v>6.2889812889812893E-2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SUMIFS('[7]TABLO-1'!O4:O32873,'[7]TABLO-1'!H4:H32873,"=Dağıtım-AG",'[7]TABLO-1'!J4:J32873,"=Dışsal",'[7]TABLO-1'!K4:K32873,"=Bildirimsiz",'[7]TABLO-1'!I4:I32873,"=Uzun",'[7]TABLO-1'!D4:D32873,"=KOFÇAZ")/P6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SUMIFS('[7]TABLO-1'!P4:P32873,'[7]TABLO-1'!H4:H32873,"=Dağıtım-AG",'[7]TABLO-1'!J4:J32873,"=Dışsal",'[7]TABLO-1'!K4:K32873,"=Bildirimsiz",'[7]TABLO-1'!I4:I32873,"=Uzun",'[7]TABLO-1'!D4:D32873,"=KOFÇAZ")/P12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SUMIFS('[7]TABLO-1'!Q4:Q32873,'[7]TABLO-1'!H4:H32873,"=Dağıtım-AG",'[7]TABLO-1'!J4:J32873,"=Dışsal",'[7]TABLO-1'!K4:K32873,"=Bildirimsiz",'[7]TABLO-1'!I4:I32873,"=Uzun",'[7]TABLO-1'!D4:D32873,"=KOFÇAZ")/P7</f>
        <v>0</v>
      </c>
      <c r="H38" s="10">
        <f>SUMIFS('[7]TABLO-1'!R4:R32873,'[7]TABLO-1'!H4:H32873,"=Dağıtım-AG",'[7]TABLO-1'!J4:J32873,"=Dışsal",'[7]TABLO-1'!K4:K32873,"=Bildirimsiz",'[7]TABLO-1'!I4:I32873,"=Uzun",'[7]TABLO-1'!D4:D32873,"=KOFÇAZ")/P13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SUMIFS('[7]TABLO-1'!S4:S32873,'[7]TABLO-1'!H4:H32873,"=Dağıtım-AG",'[7]TABLO-1'!J4:J32873,"=Dışsal",'[7]TABLO-1'!K4:K32873,"=Bildirimsiz",'[7]TABLO-1'!I4:I32873,"=Uzun",'[7]TABLO-1'!D4:D32873,"=KOFÇAZ")/P8</f>
        <v>0</v>
      </c>
      <c r="K38" s="10">
        <f>SUMIFS('[7]TABLO-1'!T4:T32873,'[7]TABLO-1'!H4:H32873,"=Dağıtım-AG",'[7]TABLO-1'!J4:J32873,"=Dışsal",'[7]TABLO-1'!K4:K32873,"=bildirimsiz",'[7]TABLO-1'!I4:I32873,"=Uzun",'[7]TABLO-1'!D4:D32873,"=KOFÇAZ")/P14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Sebep",'[7]TABLO-1'!K4:K32873,"=Bildirimsiz",'[7]TABLO-1'!I4:I32873,"=Uzun",'[7]TABLO-1'!D4:D32873,"=KOFÇAZ")/P6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Sebep",'[7]TABLO-1'!K4:K32873,"=Bildirimsiz",'[7]TABLO-1'!I4:I32873,"=Uzun",'[7]TABLO-1'!D4:D32873,"=KOFÇAZ")/P12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Sebep",'[7]TABLO-1'!K4:K32873,"=Bildirimsiz",'[7]TABLO-1'!I4:I32873,"=Uzun",'[7]TABLO-1'!D4:D32873,"=KOFÇAZ")/P7</f>
        <v>0</v>
      </c>
      <c r="H39" s="10">
        <f>SUMIFS('[7]TABLO-1'!R4:R32873,'[7]TABLO-1'!H4:H32873,"=Dağıtım-AG",'[7]TABLO-1'!J4:J32873,"=Mücbir Sebep",'[7]TABLO-1'!K4:K32873,"=Bildirimsiz",'[7]TABLO-1'!I4:I32873,"=Uzun",'[7]TABLO-1'!D4:D32873,"=KOFÇAZ")/P13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Sebep",'[7]TABLO-1'!K4:K32873,"=Bildirimsiz",'[7]TABLO-1'!I4:I32873,"=Uzun",'[7]TABLO-1'!D4:D32873,"=KOFÇAZ")/P8</f>
        <v>0</v>
      </c>
      <c r="K39" s="10">
        <f>SUMIFS('[7]TABLO-1'!T4:T32873,'[7]TABLO-1'!H4:H32873,"=Dağıtım-AG",'[7]TABLO-1'!J4:J32873,"=Mücbir Sebep",'[7]TABLO-1'!K4:K32873,"=bildirimsiz",'[7]TABLO-1'!I4:I32873,"=Uzun",'[7]TABLO-1'!D4:D32873,"=KOFÇAZ")/P14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SUMIFS('[7]TABLO-1'!O4:O32873,'[7]TABLO-1'!H4:H32873,"=Dağıtım-AG",'[7]TABLO-1'!J4:J32873,"=Güvenlik",'[7]TABLO-1'!K4:K32873,"=Bildirimsiz",'[7]TABLO-1'!I4:I32873,"=Uzun",'[7]TABLO-1'!D4:D32873,"=KOFÇAZ")/P6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SUMIFS('[7]TABLO-1'!P4:P32873,'[7]TABLO-1'!H4:H32873,"=Dağıtım-AG",'[7]TABLO-1'!J4:J32873,"=Güvenlik",'[7]TABLO-1'!K4:K32873,"=Bildirimsiz",'[7]TABLO-1'!I4:I32873,"=Uzun",'[7]TABLO-1'!D4:D32873,"=KOFÇAZ")/P12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SUMIFS('[7]TABLO-1'!Q4:Q32873,'[7]TABLO-1'!H4:H32873,"=Dağıtım-AG",'[7]TABLO-1'!J4:J32873,"=Güvenlik",'[7]TABLO-1'!K4:K32873,"=Bildirimsiz",'[7]TABLO-1'!I4:I32873,"=Uzun",'[7]TABLO-1'!D4:D32873,"=KOFÇAZ")/P7</f>
        <v>0</v>
      </c>
      <c r="H40" s="10">
        <f>SUMIFS('[7]TABLO-1'!R4:R32873,'[7]TABLO-1'!H4:H32873,"=Dağıtım-AG",'[7]TABLO-1'!J4:J32873,"=Güvenlik",'[7]TABLO-1'!K4:K32873,"=Bildirimsiz",'[7]TABLO-1'!I4:I32873,"=Uzun",'[7]TABLO-1'!D4:D32873,"=KOFÇAZ")/P13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SUMIFS('[7]TABLO-1'!S4:S32873,'[7]TABLO-1'!H4:H32873,"=Dağıtım-AG",'[7]TABLO-1'!J4:J32873,"=Güvenlik",'[7]TABLO-1'!K4:K32873,"=Bildirimsiz",'[7]TABLO-1'!I4:I32873,"=Uzun",'[7]TABLO-1'!D4:D32873,"=KOFÇAZ")/P8</f>
        <v>0</v>
      </c>
      <c r="K40" s="10">
        <f>SUMIFS('[7]TABLO-1'!T4:T32873,'[7]TABLO-1'!H4:H32873,"=Dağıtım-AG",'[7]TABLO-1'!J4:J32873,"=Güvenlik",'[7]TABLO-1'!K4:K32873,"=bildirimsiz",'[7]TABLO-1'!I4:I32873,"=Uzun",'[7]TABLO-1'!D4:D32873,"=KOFÇAZ")/P14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0.5</v>
      </c>
      <c r="H41" s="10">
        <f t="shared" si="14"/>
        <v>0.59305210918114148</v>
      </c>
      <c r="I41" s="10">
        <f t="shared" si="14"/>
        <v>0.59213759213759209</v>
      </c>
      <c r="J41" s="10">
        <f t="shared" si="14"/>
        <v>2.0714285714285716</v>
      </c>
      <c r="K41" s="10">
        <f t="shared" si="14"/>
        <v>1.5254237288135593</v>
      </c>
      <c r="L41" s="10">
        <f t="shared" si="14"/>
        <v>1.5405405405405406</v>
      </c>
      <c r="M41" s="10">
        <f t="shared" si="14"/>
        <v>1.33991683991684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İşletmecisi",'[7]TABLO-1'!K4:K32873,"=Bildirimli",'[7]TABLO-1'!I4:I32873,"=Uzun",'[7]TABLO-1'!D4:D32873,"=KOFÇAZ")/P6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İşletmecisi",'[7]TABLO-1'!K4:K32873,"=Bildirimli",'[7]TABLO-1'!I4:I32873,"=Uzun",'[7]TABLO-1'!D4:D32873,"=KOFÇAZ")/P12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İşletmecisi",'[7]TABLO-1'!K4:K32873,"=Bildirimli",'[7]TABLO-1'!I4:I32873,"=Uzun",'[7]TABLO-1'!D4:D32873,"=KOFÇAZ")/P7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İşletmecisi",'[7]TABLO-1'!K4:K32873,"=Bildirimli",'[7]TABLO-1'!I4:I32873,"=Uzun",'[7]TABLO-1'!D4:D32873,"=KOFÇAZ")/P13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İşletmecisi",'[7]TABLO-1'!K4:K32873,"=Bildirimli",'[7]TABLO-1'!I4:I32873,"=Uzun",'[7]TABLO-1'!D4:D32873,"=KOFÇAZ")/P8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İşletmecisi",'[7]TABLO-1'!K4:K32873,"=bildirimli",'[7]TABLO-1'!I4:I32873,"=Uzun",'[7]TABLO-1'!D4:D32873,"=KOFÇAZ")/P14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İşletmecisi",'[7]TABLO-1'!K4:K32873,"=Bildirimli",'[7]TABLO-1'!I4:I32873,"=Uzun",'[7]TABLO-1'!D4:D32873,"=KOFÇAZ")/P6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İşletmecisi",'[7]TABLO-1'!K4:K32873,"=Bildirimli",'[7]TABLO-1'!I4:I32873,"=Uzun",'[7]TABLO-1'!D4:D32873,"=KOFÇAZ")/P12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İşletmecisi",'[7]TABLO-1'!K4:K32873,"=Bildirimli",'[7]TABLO-1'!I4:I32873,"=Uzun",'[7]TABLO-1'!D4:D32873,"=KOFÇAZ")/P7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İşletmecisi",'[7]TABLO-1'!K4:K32873,"=Bildirimli",'[7]TABLO-1'!I4:I32873,"=Uzun",'[7]TABLO-1'!D4:D32873,"=KOFÇAZ")/P13</f>
        <v>0</v>
      </c>
      <c r="I47" s="10">
        <f t="shared" ref="I47:I50" si="16">IFERROR((((G47*$P$7)+(H47*$P$13))/$P$20),"0,00")</f>
        <v>0</v>
      </c>
      <c r="J47" s="10">
        <f>SUMIFS('[7]TABLO-1'!S4:S32873,'[7]TABLO-1'!H4:H32873,"=Dağıtım-OG",'[7]TABLO-1'!J4:J32873,"=Şebeke İşletmecisi",'[7]TABLO-1'!K4:K32873,"=Bildirimli",'[7]TABLO-1'!I4:I32873,"=Uzun",'[7]TABLO-1'!D4:D32873,"=KOFÇAZ")/P8</f>
        <v>0</v>
      </c>
      <c r="K47" s="10">
        <f>SUMIFS('[7]TABLO-1'!T4:T32873,'[7]TABLO-1'!H4:H32873,"=Dağıtım-OG",'[7]TABLO-1'!J4:J32873,"=Şebeke İşletmecisi",'[7]TABLO-1'!K4:K32873,"=bildirimli",'[7]TABLO-1'!I4:I32873,"=Uzun",'[7]TABLO-1'!D4:D32873,"=KOFÇAZ")/P14</f>
        <v>0</v>
      </c>
      <c r="L47" s="10">
        <f t="shared" ref="L47:L50" si="17">IFERROR((((J47*$P$8)+(K47*$P$14))/$P$23),"0,00")</f>
        <v>0</v>
      </c>
      <c r="M47" s="11">
        <f t="shared" ref="M47:M50" si="18">IFERROR((((F47*$P$17)+(I47*$P$20)+(L47*$P$23))/$P$26),"0,00")</f>
        <v>0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SUMIFS('[7]TABLO-1'!O4:O32873,'[7]TABLO-1'!H4:H32873,"=Dağıtım-OG",'[7]TABLO-1'!J4:J32873,"=Güvenlik",'[7]TABLO-1'!K4:K32873,"=Bildirimli",'[7]TABLO-1'!I4:I32873,"=Uzun",'[7]TABLO-1'!D4:D32873,"=KOFÇAZ")/P6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SUMIFS('[7]TABLO-1'!P4:P32873,'[7]TABLO-1'!H4:H32873,"=Dağıtım-OG",'[7]TABLO-1'!J4:J32873,"=Güvenlik",'[7]TABLO-1'!K4:K32873,"=Bildirimli",'[7]TABLO-1'!I4:I32873,"=Uzun",'[7]TABLO-1'!D4:D32873,"=KOFÇAZ")/P12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SUMIFS('[7]TABLO-1'!Q4:Q32873,'[7]TABLO-1'!H4:H32873,"=Dağıtım-OG",'[7]TABLO-1'!J4:J32873,"=Güvenlik",'[7]TABLO-1'!K4:K32873,"=Bildirimli",'[7]TABLO-1'!I4:I32873,"=Uzun",'[7]TABLO-1'!D4:D32873,"=KOFÇAZ")/P7</f>
        <v>0</v>
      </c>
      <c r="H48" s="10">
        <f>SUMIFS('[7]TABLO-1'!R4:R32873,'[7]TABLO-1'!H4:H32873,"=Dağıtım-OG",'[7]TABLO-1'!J4:J32873,"=Güvenlik",'[7]TABLO-1'!K4:K32873,"=Bildirimli",'[7]TABLO-1'!I4:I32873,"=Uzun",'[7]TABLO-1'!D4:D32873,"=KOFÇAZ")/P13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SUMIFS('[7]TABLO-1'!S4:S32873,'[7]TABLO-1'!H4:H32873,"=Dağıtım-OG",'[7]TABLO-1'!J4:J32873,"=Güvenlik",'[7]TABLO-1'!K4:K32873,"=Bildirimli",'[7]TABLO-1'!I4:I32873,"=Uzun",'[7]TABLO-1'!D4:D32873,"=KOFÇAZ")/P8</f>
        <v>0</v>
      </c>
      <c r="K48" s="10">
        <f>SUMIFS('[7]TABLO-1'!T4:T32873,'[7]TABLO-1'!H4:H32873,"=Dağıtım-OG",'[7]TABLO-1'!J4:J32873,"=Güvenlik",'[7]TABLO-1'!K4:K32873,"=bildirimli",'[7]TABLO-1'!I4:I32873,"=Uzun",'[7]TABLO-1'!D4:D32873,"=KOFÇAZ")/P14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İşletmecisi",'[7]TABLO-1'!K4:K32873,"=Bildirimli",'[7]TABLO-1'!I4:I32873,"=Uzun",'[7]TABLO-1'!D4:D32873,"=KOFÇAZ")/P6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İşletmecisi",'[7]TABLO-1'!K4:K32873,"=Bildirimli",'[7]TABLO-1'!I4:I32873,"=Uzun",'[7]TABLO-1'!D4:D32873,"=KOFÇAZ")/P12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İşletmecisi",'[7]TABLO-1'!K4:K32873,"=Bildirimli",'[7]TABLO-1'!I4:I32873,"=Uzun",'[7]TABLO-1'!D4:D32873,"=KOFÇAZ")/P7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İşletmecisi",'[7]TABLO-1'!K4:K32873,"=Bildirimli",'[7]TABLO-1'!I4:I32873,"=Uzun",'[7]TABLO-1'!D4:D32873,"=KOFÇAZ")/P13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İşletmecisi",'[7]TABLO-1'!K4:K32873,"=Bildirimli",'[7]TABLO-1'!I4:I32873,"=Uzun",'[7]TABLO-1'!D4:D32873,"=KOFÇAZ")/P8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İşletmecisi",'[7]TABLO-1'!K4:K32873,"=bildirimli",'[7]TABLO-1'!I4:I32873,"=Uzun",'[7]TABLO-1'!D4:D32873,"=KOFÇAZ")/P14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SUMIFS('[7]TABLO-1'!O4:O32873,'[7]TABLO-1'!H4:H32873,"=Dağıtım-AG",'[7]TABLO-1'!J4:J32873,"=Güvenlik",'[7]TABLO-1'!K4:K32873,"=Bildirimli",'[7]TABLO-1'!I4:I32873,"=Uzun",'[7]TABLO-1'!D4:D32873,"=KOFÇAZ")/P6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SUMIFS('[7]TABLO-1'!P4:P32873,'[7]TABLO-1'!H4:H32873,"=Dağıtım-AG",'[7]TABLO-1'!J4:J32873,"=Güvenlik",'[7]TABLO-1'!K4:K32873,"=Bildirimli",'[7]TABLO-1'!I4:I32873,"=Uzun",'[7]TABLO-1'!D4:D32873,"=KOFÇAZ")/P12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SUMIFS('[7]TABLO-1'!Q4:Q32873,'[7]TABLO-1'!H4:H32873,"=Dağıtım-AG",'[7]TABLO-1'!J4:J32873,"=Güvenlik",'[7]TABLO-1'!K4:K32873,"=Bildirimli",'[7]TABLO-1'!I4:I32873,"=Uzun",'[7]TABLO-1'!D4:D32873,"=KOFÇAZ")/P7</f>
        <v>0</v>
      </c>
      <c r="H50" s="10">
        <f>SUMIFS('[7]TABLO-1'!R4:R32873,'[7]TABLO-1'!H4:H32873,"=Dağıtım-AG",'[7]TABLO-1'!J4:J32873,"=Güvenlik",'[7]TABLO-1'!K4:K32873,"=Bildirimli",'[7]TABLO-1'!I4:I32873,"=Uzun",'[7]TABLO-1'!D4:D32873,"=KOFÇAZ")/P13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SUMIFS('[7]TABLO-1'!S4:S32873,'[7]TABLO-1'!H4:H32873,"=Dağıtım-AG",'[7]TABLO-1'!J4:J32873,"=Güvenlik",'[7]TABLO-1'!K4:K32873,"=Bildirimli",'[7]TABLO-1'!I4:I32873,"=Uzun",'[7]TABLO-1'!D4:D32873,"=KOFÇAZ")/P8</f>
        <v>0</v>
      </c>
      <c r="K50" s="10">
        <f>SUMIFS('[7]TABLO-1'!T4:T32873,'[7]TABLO-1'!H4:H32873,"=Dağıtım-AG",'[7]TABLO-1'!J4:J32873,"=Güvenlik",'[7]TABLO-1'!K4:K32873,"=bildirimli",'[7]TABLO-1'!I4:I32873,"=Uzun",'[7]TABLO-1'!D4:D32873,"=KOFÇAZ")/P14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0</v>
      </c>
      <c r="I51" s="10">
        <f t="shared" si="19"/>
        <v>0</v>
      </c>
      <c r="J51" s="10">
        <f t="shared" si="19"/>
        <v>0</v>
      </c>
      <c r="K51" s="10">
        <f t="shared" si="19"/>
        <v>0</v>
      </c>
      <c r="L51" s="10">
        <f t="shared" si="19"/>
        <v>0</v>
      </c>
      <c r="M51" s="10">
        <f t="shared" si="19"/>
        <v>0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SUMIFS('[7]TABLO-1'!O1:O32873,'[7]TABLO-1'!H1:H32873,"=İletim",'[7]TABLO-1'!K1:K32873,"=Bildirimsiz",'[7]TABLO-1'!I1:I32873,"=Kısa",'[7]TABLO-1'!D1:D32873,"=KOFÇAZ")/P6</f>
        <v>#DIV/0!</v>
      </c>
      <c r="D56" s="10" t="e">
        <f>SUMIFS('[7]TABLO-1'!P1:P32873,'[7]TABLO-1'!H1:H32873,"=İletim",'[7]TABLO-1'!K1:K32873,"=Bildirimsiz",'[7]TABLO-1'!I1:I32873,"=Kısa",'[7]TABLO-1'!D1:D32873,"=KOFÇAZ")/P12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SUMIFS('[7]TABLO-1'!Q1:Q32873,'[7]TABLO-1'!H1:H32873,"=İletim",'[7]TABLO-1'!K1:K32873,"=Bildirimsiz",'[7]TABLO-1'!I1:I32873,"=Kısa",'[7]TABLO-1'!D1:D32873,"=KOFÇAZ")/P7</f>
        <v>0</v>
      </c>
      <c r="G56" s="10">
        <f>SUMIFS('[7]TABLO-1'!R1:R32873,'[7]TABLO-1'!H1:H32873,"=İletim",'[7]TABLO-1'!K1:K32873,"=Bildirimsiz",'[7]TABLO-1'!I1:I32873,"=Kısa",'[7]TABLO-1'!D1:D32873,"=KOFÇAZ")/P13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SUMIFS('[7]TABLO-1'!S1:S32873,'[7]TABLO-1'!H1:H32873,"=İletim",'[7]TABLO-1'!K1:K32873,"=Bildirimsiz",'[7]TABLO-1'!I1:I32873,"=Kısa",'[7]TABLO-1'!D1:D32873,"=KOFÇAZ")/P8</f>
        <v>0</v>
      </c>
      <c r="J56" s="10">
        <f>SUMIFS('[7]TABLO-1'!T1:T32873,'[7]TABLO-1'!H1:H32873,"=İletim",'[7]TABLO-1'!K1:K32873,"=Bildirimsiz",'[7]TABLO-1'!I1:I32873,"=Kısa",'[7]TABLO-1'!D1:D32873,"=KOFÇAZ")/P14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SUMIFS('[7]TABLO-1'!O4:O32873,'[7]TABLO-1'!H4:H32873,"=Dağıtım-OG",'[7]TABLO-1'!K4:K32873,"=Bildirimsiz",'[7]TABLO-1'!I4:I32873,"=Kısa",'[7]TABLO-1'!D4:D32873,"=KOFÇAZ")/P6</f>
        <v>#DIV/0!</v>
      </c>
      <c r="D57" s="10" t="e">
        <f>SUMIFS('[7]TABLO-1'!P4:P32873,'[7]TABLO-1'!H4:H32873,"=Dağıtım-OG",'[7]TABLO-1'!K4:K32873,"=Bildirimsiz",'[7]TABLO-1'!I4:I32873,"=Kısa",'[7]TABLO-1'!D4:D32873,"=KOFÇAZ")/P12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SUMIFS('[7]TABLO-1'!Q4:Q32873,'[7]TABLO-1'!H4:H32873,"=Dağıtım-OG",'[7]TABLO-1'!K4:K32873,"=Bildirimsiz",'[7]TABLO-1'!I4:I32873,"=Kısa",'[7]TABLO-1'!D4:D32873,"=KOFÇAZ")/P7</f>
        <v>0</v>
      </c>
      <c r="G57" s="10">
        <f>SUMIFS('[7]TABLO-1'!R4:R32873,'[7]TABLO-1'!H4:H32873,"=Dağıtım-OG",'[7]TABLO-1'!K4:K32873,"=Bildirimsiz",'[7]TABLO-1'!I4:I32873,"=Kısa",'[7]TABLO-1'!D4:D32873,"=KOFÇAZ")/P13</f>
        <v>0</v>
      </c>
      <c r="H57" s="10">
        <f>IFERROR((((F57*$P$7)+(G57*$P$13))/$P$20),"0,00")</f>
        <v>0</v>
      </c>
      <c r="I57" s="10">
        <f>SUMIFS('[7]TABLO-1'!S4:S32873,'[7]TABLO-1'!H4:H32873,"=Dağıtım-OG",'[7]TABLO-1'!K4:K32873,"=Bildirimsiz",'[7]TABLO-1'!I4:I32873,"=Kısa",'[7]TABLO-1'!D4:D32873,"=KOFÇAZ")/P8</f>
        <v>0</v>
      </c>
      <c r="J57" s="10">
        <f>SUMIFS('[7]TABLO-1'!T4:T32873,'[7]TABLO-1'!H4:H32873,"=Dağıtım-OG",'[7]TABLO-1'!K4:K32873,"=Bildirimsiz",'[7]TABLO-1'!I4:I32873,"=Kısa",'[7]TABLO-1'!D4:D32873,"=KOFÇAZ")/P14</f>
        <v>8.2033898305084743E-2</v>
      </c>
      <c r="K57" s="10">
        <f>IFERROR((((I57*$P$8)+(J57*$P$14))/$P$23),"0,00")</f>
        <v>7.976268951878708E-2</v>
      </c>
      <c r="L57" s="11">
        <f>IFERROR((((E57*$P$17)+(H57*$P$20)+(K57*$P$23))/$P$26),"0,00")</f>
        <v>6.2889812889812893E-2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SUMIFS('[7]TABLO-1'!O4:O32873,'[7]TABLO-1'!H4:H32873,"=Dağıtım-AG",'[7]TABLO-1'!K4:K32873,"=Bildirimsiz",'[7]TABLO-1'!I4:I32873,"=Kısa",'[7]TABLO-1'!D4:D32873,"=KOFÇAZ")/P6</f>
        <v>#DIV/0!</v>
      </c>
      <c r="D58" s="10" t="e">
        <f>SUMIFS('[7]TABLO-1'!P4:P32873,'[7]TABLO-1'!H4:H32873,"=Dağıtım-AG",'[7]TABLO-1'!K4:K32873,"=Bildirimsiz",'[7]TABLO-1'!I4:I32873,"=Kısa",'[7]TABLO-1'!D4:D32873,"=KOFÇAZ")/P12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SUMIFS('[7]TABLO-1'!Q4:Q32873,'[7]TABLO-1'!H4:H32873,"=Dağıtım-AG",'[7]TABLO-1'!K4:K32873,"=Bildirimsiz",'[7]TABLO-1'!I4:I32873,"=Kısa",'[7]TABLO-1'!D4:D32873,"=KOFÇAZ")/P7</f>
        <v>0</v>
      </c>
      <c r="G58" s="10">
        <f>SUMIFS('[7]TABLO-1'!R4:R32873,'[7]TABLO-1'!H4:H32873,"=Dağıtım-AG",'[7]TABLO-1'!K4:K32873,"=Bildirimsiz",'[7]TABLO-1'!I4:I32873,"=Kısa",'[7]TABLO-1'!D4:D32873,"=KOFÇAZ")/P13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SUMIFS('[7]TABLO-1'!S4:S32873,'[7]TABLO-1'!H4:H32873,"=Dağıtım-AG",'[7]TABLO-1'!K4:K32873,"=Bildirimsiz",'[7]TABLO-1'!I4:I32873,"=Kısa",'[7]TABLO-1'!D4:D32873,"=KOFÇAZ")/P8</f>
        <v>0</v>
      </c>
      <c r="J58" s="10">
        <f>SUMIFS('[7]TABLO-1'!T4:T32873,'[7]TABLO-1'!H4:H32873,"=Dağıtım-AG",'[7]TABLO-1'!K4:K32873,"=Bildirimsiz",'[7]TABLO-1'!I4:I32873,"=Kısa",'[7]TABLO-1'!D4:D32873,"=KOFÇAZ")/P14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</v>
      </c>
      <c r="G59" s="10">
        <f t="shared" si="20"/>
        <v>0</v>
      </c>
      <c r="H59" s="10">
        <f t="shared" si="20"/>
        <v>0</v>
      </c>
      <c r="I59" s="10">
        <f t="shared" si="20"/>
        <v>0</v>
      </c>
      <c r="J59" s="10">
        <f t="shared" si="20"/>
        <v>8.2033898305084743E-2</v>
      </c>
      <c r="K59" s="10">
        <f t="shared" si="20"/>
        <v>7.976268951878708E-2</v>
      </c>
      <c r="L59" s="10">
        <f t="shared" si="20"/>
        <v>6.2889812889812893E-2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4</v>
      </c>
      <c r="G65" s="27">
        <f>P13</f>
        <v>403</v>
      </c>
      <c r="H65" s="17">
        <f>SUM(F65:G65)</f>
        <v>407</v>
      </c>
      <c r="I65" s="17">
        <f>P8</f>
        <v>42</v>
      </c>
      <c r="J65" s="27">
        <f>P14</f>
        <v>1475</v>
      </c>
      <c r="K65" s="17">
        <f>SUM(I65:J65)</f>
        <v>1517</v>
      </c>
      <c r="L65" s="17">
        <f>H65+E65+K65</f>
        <v>1924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B70:I71"/>
    <mergeCell ref="B51:C51"/>
    <mergeCell ref="C54:E54"/>
    <mergeCell ref="F54:H54"/>
    <mergeCell ref="I54:K54"/>
    <mergeCell ref="B68:I68"/>
    <mergeCell ref="B69:I69"/>
    <mergeCell ref="B41:C41"/>
    <mergeCell ref="B44:C44"/>
    <mergeCell ref="D44:F44"/>
    <mergeCell ref="G44:I44"/>
    <mergeCell ref="J44:L44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</mergeCell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Q71"/>
  <sheetViews>
    <sheetView zoomScale="70" zoomScaleNormal="70" workbookViewId="0">
      <selection activeCell="N22" sqref="N22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İşletmecisi",'[7]TABLO-1'!K4:K32873,"=Bildirimsiz",'[7]TABLO-1'!I4:I32873,"=Uzun",'[7]TABLO-1'!D4:D32873,"=PINARHİSAR")/P6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İşletmecisi",'[7]TABLO-1'!K4:K32873,"=Bildirimsiz",'[7]TABLO-1'!I4:I32873,"=Uzun",'[7]TABLO-1'!D4:D32873,"=PINARHİSAR")/P12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İşletmecisi",'[7]TABLO-1'!K4:K32873,"=Bildirimsiz",'[7]TABLO-1'!I4:I32873,"=Uzun",'[7]TABLO-1'!D4:D32873,"=PINARHİSAR")/P7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İşletmecisi",'[7]TABLO-1'!K4:K32873,"=Bildirimsiz",'[7]TABLO-1'!I4:I32873,"=Uzun",'[7]TABLO-1'!D4:D32873,"=PINARHİSAR")/P13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İşletmecisi",'[7]TABLO-1'!K4:K32873,"=Bildirimsiz",'[7]TABLO-1'!I4:I32873,"=Uzun",'[7]TABLO-1'!D4:D32873,"=PINARHİSAR")/P8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İşletmecisi",'[7]TABLO-1'!K4:K32873,"=Bildirimsiz",'[7]TABLO-1'!I4:I32873,"=Uzun",'[7]TABLO-1'!D4:D32873,"=PINARHİSAR")/P14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Sebep",'[7]TABLO-1'!K4:K32873,"=Bildirimsiz",'[7]TABLO-1'!I4:I32873,"=Uzun",'[7]TABLO-1'!D4:D32873,"=PINARHİSAR")/P6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Sebep",'[7]TABLO-1'!K4:K32873,"=Bildirimsiz",'[7]TABLO-1'!I4:I32873,"=Uzun",'[7]TABLO-1'!D4:D32873,"=PINARHİSAR")/P12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Sebep",'[7]TABLO-1'!K4:K32873,"=Bildirimsiz",'[7]TABLO-1'!I4:I32873,"=Uzun",'[7]TABLO-1'!D4:D32873,"=PINARHİSAR")/P7</f>
        <v>0</v>
      </c>
      <c r="H7" s="10">
        <f>SUMIFS('[7]TABLO-1'!X4:X32873,'[7]TABLO-1'!H4:H32873,"=İletim",'[7]TABLO-1'!J4:J32873,"=Mücbir Sebep",'[7]TABLO-1'!K4:K32873,"=Bildirimsiz",'[7]TABLO-1'!I4:I32873,"=Uzun",'[7]TABLO-1'!D4:D32873,"=PINARHİSAR")/P13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Sebep",'[7]TABLO-1'!K4:K32873,"=Bildirimsiz",'[7]TABLO-1'!I4:I32873,"=Uzun",'[7]TABLO-1'!D4:D32873,"=PINARHİSAR")/P8</f>
        <v>0</v>
      </c>
      <c r="K7" s="10">
        <f>SUMIFS('[7]TABLO-1'!Z4:Z32873,'[7]TABLO-1'!H4:H32873,"=İletim",'[7]TABLO-1'!J4:J32873,"=Mücbir Sebep",'[7]TABLO-1'!K4:K32873,"=Bildirimsiz",'[7]TABLO-1'!I4:I32873,"=Uzun",'[7]TABLO-1'!D4:D32873,"=PINARHİSAR")/P14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50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İşletmecisi",'[7]TABLO-1'!K4:K32873,"=Bildirimsiz",'[7]TABLO-1'!I4:I32873,"=Uzun",'[7]TABLO-1'!D4:D32873,"=PINARHİSAR")/P6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İşletmecisi",'[7]TABLO-1'!K4:K32873,"=Bildirimsiz",'[7]TABLO-1'!I4:I32873,"=Uzun",'[7]TABLO-1'!D4:D32873,"=PINARHİSAR")/P12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İşletmecisi",'[7]TABLO-1'!K4:K32873,"=Bildirimsiz",'[7]TABLO-1'!I4:I32873,"=Uzun",'[7]TABLO-1'!D4:D32873,"=PINARHİSAR")/P7</f>
        <v>37.43233333225362</v>
      </c>
      <c r="H8" s="10">
        <f>SUMIFS('[7]TABLO-1'!X4:X32873,'[7]TABLO-1'!H4:H32873,"=Dağıtım-OG",'[7]TABLO-1'!J4:J32873,"=Şebeke İşletmecisi",'[7]TABLO-1'!K4:K32873,"=Bildirimsiz",'[7]TABLO-1'!I4:I32873,"=Uzun",'[7]TABLO-1'!D4:D32873,"=PINARHİSAR")/P13</f>
        <v>19.705566179968962</v>
      </c>
      <c r="I8" s="10">
        <f t="shared" si="1"/>
        <v>19.794333166209746</v>
      </c>
      <c r="J8" s="10">
        <f>SUMIFS('[7]TABLO-1'!Y4:Y32873,'[7]TABLO-1'!H4:H32873,"=Dağıtım-OG",'[7]TABLO-1'!J4:J32873,"=Şebeke İşletmecisi",'[7]TABLO-1'!K4:K32873,"=Bildirimsiz",'[7]TABLO-1'!I4:I32873,"=Uzun",'[7]TABLO-1'!D4:D32873,"=PINARHİSAR")/P8</f>
        <v>75.462318842018362</v>
      </c>
      <c r="K8" s="10">
        <f>SUMIFS('[7]TABLO-1'!Z4:Z32873,'[7]TABLO-1'!H4:H32873,"=Dağıtım-OG",'[7]TABLO-1'!J4:J32873,"=Şebeke İşletmecisi",'[7]TABLO-1'!K4:K32873,"=Bildirimsiz",'[7]TABLO-1'!I4:I32873,"=Uzun",'[7]TABLO-1'!D4:D32873,"=PINARHİSAR")/P14</f>
        <v>94.884462372726389</v>
      </c>
      <c r="L8" s="10">
        <f t="shared" si="2"/>
        <v>94.588677369444625</v>
      </c>
      <c r="M8" s="11">
        <f t="shared" si="3"/>
        <v>47.988057946675362</v>
      </c>
      <c r="O8" s="20" t="s">
        <v>36</v>
      </c>
      <c r="P8" s="53">
        <v>92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SUMIFS('[7]TABLO-1'!U4:U32873,'[7]TABLO-1'!H4:H32873,"=Dağıtım-OG",'[7]TABLO-1'!J4:J32873,"=Dışsal",'[7]TABLO-1'!K4:K32873,"=Bildirimsiz",'[7]TABLO-1'!I4:I32873,"=Uzun",'[7]TABLO-1'!D4:D32873,"=PINARHİSAR")/P6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SUMIFS('[7]TABLO-1'!V4:V32873,'[7]TABLO-1'!H4:H32873,"=Dağıtım-OG",'[7]TABLO-1'!J4:J32873,"=Dışsal",'[7]TABLO-1'!K4:K32873,"=Bildirimsiz",'[7]TABLO-1'!I4:I32873,"=Uzun",'[7]TABLO-1'!D4:D32873,"=PINARHİSAR")/P12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SUMIFS('[7]TABLO-1'!W4:W32873,'[7]TABLO-1'!H4:H32873,"=Dağıtım-OG",'[7]TABLO-1'!J4:J32873,"=Dışsal",'[7]TABLO-1'!K4:K32873,"=Bildirimsiz",'[7]TABLO-1'!I4:I32873,"=Uzun",'[7]TABLO-1'!D4:D32873,"=PINARHİSAR")/P7</f>
        <v>0</v>
      </c>
      <c r="H9" s="10">
        <f>SUMIFS('[7]TABLO-1'!X4:X32873,'[7]TABLO-1'!H4:H32873,"=Dağıtım-OG",'[7]TABLO-1'!J4:J32873,"=Dışsal",'[7]TABLO-1'!K4:K32873,"=Bildirimsiz",'[7]TABLO-1'!I4:I32873,"=Uzun",'[7]TABLO-1'!D4:D32873,"=PINARHİSAR")/P13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SUMIFS('[7]TABLO-1'!Y4:Y32873,'[7]TABLO-1'!H4:H32873,"=Dağıtım-OG",'[7]TABLO-1'!J4:J32873,"=Dışsal",'[7]TABLO-1'!K4:K32873,"=Bildirimsiz",'[7]TABLO-1'!I4:I32873,"=Uzun",'[7]TABLO-1'!D4:D32873,"=PINARHİSAR")/P8</f>
        <v>0</v>
      </c>
      <c r="K9" s="10">
        <f>SUMIFS('[7]TABLO-1'!Z4:Z32873,'[7]TABLO-1'!H4:H32873,"=Dağıtım-OG",'[7]TABLO-1'!J4:J32873,"=Dışsal",'[7]TABLO-1'!K4:K32873,"=Bildirimsiz",'[7]TABLO-1'!I4:I32873,"=Uzun",'[7]TABLO-1'!D4:D32873,"=PINARHİSAR")/P14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142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Sebep",'[7]TABLO-1'!K4:K32873,"=Bildirimsiz",'[7]TABLO-1'!I4:I32873,"=Uzun",'[7]TABLO-1'!D4:D32873,"=PINARHİSAR")/P6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Sebep",'[7]TABLO-1'!K4:K32873,"=Bildirimsiz",'[7]TABLO-1'!I4:I32873,"=Uzun",'[7]TABLO-1'!D4:D32873,"=PINARHİSAR")/P12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Sebep",'[7]TABLO-1'!K4:K32873,"=Bildirimsiz",'[7]TABLO-1'!I4:I32873,"=Uzun",'[7]TABLO-1'!D4:D32873,"=PINARHİSAR")/P7</f>
        <v>0</v>
      </c>
      <c r="H10" s="10">
        <f>SUMIFS('[7]TABLO-1'!X4:X32873,'[7]TABLO-1'!H4:H32873,"=Dağıtım-OG",'[7]TABLO-1'!J4:J32873,"=Mücbir Sebep",'[7]TABLO-1'!K4:K32873,"=Bildirimsiz",'[7]TABLO-1'!I4:I32873,"=Uzun",'[7]TABLO-1'!D4:D32873,"=PINARHİSAR")/P13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Sebep",'[7]TABLO-1'!K4:K32873,"=Bildirimsiz",'[7]TABLO-1'!I4:I32873,"=Uzun",'[7]TABLO-1'!D4:D32873,"=PINARHİSAR")/P8</f>
        <v>0</v>
      </c>
      <c r="K10" s="10">
        <f>SUMIFS('[7]TABLO-1'!Z4:Z32873,'[7]TABLO-1'!H4:H32873,"=Dağıtım-OG",'[7]TABLO-1'!J4:J32873,"=Mücbir Sebep",'[7]TABLO-1'!K4:K32873,"=Bildirimsiz",'[7]TABLO-1'!I4:I32873,"=Uzun",'[7]TABLO-1'!D4:D32873,"=PINARHİSAR")/P14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SUMIFS('[7]TABLO-1'!U4:U32873,'[7]TABLO-1'!H4:H32873,"=Dağıtım-OG",'[7]TABLO-1'!J4:J32873,"=Güvenlik",'[7]TABLO-1'!K4:K32873,"=Bildirimsiz",'[7]TABLO-1'!I4:I32873,"=Uzun",'[7]TABLO-1'!D4:D32873,"=PINARHİSAR")/P6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SUMIFS('[7]TABLO-1'!V4:V32873,'[7]TABLO-1'!H4:H32873,"=Dağıtım-OG",'[7]TABLO-1'!J4:J32873,"=Güvenlik",'[7]TABLO-1'!K4:K32873,"=Bildirimsiz",'[7]TABLO-1'!I4:I32873,"=Uzun",'[7]TABLO-1'!D4:D32873,"=PINARHİSAR")/P12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SUMIFS('[7]TABLO-1'!W4:W32873,'[7]TABLO-1'!H4:H32873,"=Dağıtım-OG",'[7]TABLO-1'!J4:J32873,"=Güvenlik",'[7]TABLO-1'!K4:K32873,"=Bildirimsiz",'[7]TABLO-1'!I4:I32873,"=Uzun",'[7]TABLO-1'!D4:D32873,"=PINARHİSAR")/P7</f>
        <v>0</v>
      </c>
      <c r="H11" s="10">
        <f>SUMIFS('[7]TABLO-1'!X4:X32873,'[7]TABLO-1'!H4:H32873,"=Dağıtım-OG",'[7]TABLO-1'!J4:J32873,"=Güvenlik",'[7]TABLO-1'!K4:K32873,"=Bildirimsiz",'[7]TABLO-1'!I4:I32873,"=Uzun",'[7]TABLO-1'!D4:D32873,"=PINARHİSAR")/P13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SUMIFS('[7]TABLO-1'!Y4:Y32873,'[7]TABLO-1'!H4:H32873,"=Dağıtım-OG",'[7]TABLO-1'!J4:J32873,"=Güvenlik",'[7]TABLO-1'!K4:K32873,"=Bildirimsiz",'[7]TABLO-1'!I4:I32873,"=Uzun",'[7]TABLO-1'!D4:D32873,"=PINARHİSAR")/P8</f>
        <v>0</v>
      </c>
      <c r="K11" s="10">
        <f>SUMIFS('[7]TABLO-1'!Z4:Z32873,'[7]TABLO-1'!H4:H32873,"=Dağıtım-OG",'[7]TABLO-1'!J4:J32873,"=Güvenlik",'[7]TABLO-1'!K4:K32873,"=Bildirimsiz",'[7]TABLO-1'!I4:I32873,"=Uzun",'[7]TABLO-1'!D4:D32873,"=PINARHİSAR")/P14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İşletmecisi",'[7]TABLO-1'!K4:K32873,"=Bildirimsiz",'[7]TABLO-1'!I4:I32873,"=Uzun",'[7]TABLO-1'!D4:D32873,"=PINARHİSAR")/P6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işletmecisi",'[7]TABLO-1'!K4:K32873,"=Bildirimsiz",'[7]TABLO-1'!I4:I32873,"=Uzun",'[7]TABLO-1'!D4:D32873,"=PINARHİSAR")/P12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İşletmecisi",'[7]TABLO-1'!K4:K32873,"=Bildirimsiz",'[7]TABLO-1'!I4:I32873,"=Uzun",'[7]TABLO-1'!D4:D32873,"=PINARHİSAR")/P7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İşletmecisi",'[7]TABLO-1'!K4:K32873,"=Bildirimsiz",'[7]TABLO-1'!I4:I32873,"=Uzun",'[7]TABLO-1'!D4:D32873,"=PINARHİSAR")/P13</f>
        <v>1.288657943347739</v>
      </c>
      <c r="I12" s="10">
        <f t="shared" si="1"/>
        <v>1.2822049741772445</v>
      </c>
      <c r="J12" s="12">
        <f>SUMIFS('[7]TABLO-1'!Y4:Y32873,'[7]TABLO-1'!H4:H32873,"=Dağıtım-AG",'[7]TABLO-1'!J4:J32873,"=Şebeke İşletmecisi",'[7]TABLO-1'!K4:K32873,"=Bildirimsiz",'[7]TABLO-1'!I4:I32873,"=Uzun",'[7]TABLO-1'!D4:D32873,"=PINARHİSAR")/P8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İşletmecisi",'[7]TABLO-1'!K4:K32873,"=Bildirimsiz",'[7]TABLO-1'!I4:I32873,"=Uzun",'[7]TABLO-1'!D4:D32873,"=PINARHİSAR")/P14</f>
        <v>7.2984479185959543</v>
      </c>
      <c r="L12" s="10">
        <f t="shared" si="2"/>
        <v>7.1872979089103355</v>
      </c>
      <c r="M12" s="11">
        <f t="shared" si="3"/>
        <v>3.5081294979962014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SUMIFS('[7]TABLO-1'!U4:U32873,'[7]TABLO-1'!H4:H32873,"=Dağıtım-AG",'[7]TABLO-1'!J4:J32873,"=Dışsal",'[7]TABLO-1'!K4:K32873,"=Bildirimsiz",'[7]TABLO-1'!I4:I32873,"=Uzun",'[7]TABLO-1'!D4:D32873,"=PINARHİSAR")/P6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SUMIFS('[7]TABLO-1'!V4:V32873,'[7]TABLO-1'!H4:H32873,"=Dağıtım-AG",'[7]TABLO-1'!J4:J32873,"=Dışsal",'[7]TABLO-1'!K4:K32873,"=Bildirimsiz",'[7]TABLO-1'!I4:I32873,"=Uzun",'[7]TABLO-1'!D4:D32873,"=PINARHİSAR")/P12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SUMIFS('[7]TABLO-1'!W4:W32873,'[7]TABLO-1'!H4:H32873,"=Dağıtım-AG",'[7]TABLO-1'!J4:J32873,"=Dışsal",'[7]TABLO-1'!K4:K32873,"=Bildirimsiz",'[7]TABLO-1'!I4:I32873,"=Uzun",'[7]TABLO-1'!D4:D32873,"=PINARHİSAR")/P7</f>
        <v>0</v>
      </c>
      <c r="H13" s="10">
        <f>SUMIFS('[7]TABLO-1'!X4:X32873,'[7]TABLO-1'!H4:H32873,"=Dağıtım-AG",'[7]TABLO-1'!J4:J32873,"=Dışsal",'[7]TABLO-1'!K4:K32873,"=Bildirimsiz",'[7]TABLO-1'!I4:I32873,"=Uzun",'[7]TABLO-1'!D4:D32873,"=PINARHİSAR")/P13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SUMIFS('[7]TABLO-1'!Y4:Y32873,'[7]TABLO-1'!H4:H32873,"=Dağıtım-AG",'[7]TABLO-1'!J4:J32873,"=Dışsal",'[7]TABLO-1'!K4:K32873,"=Bildirimsiz",'[7]TABLO-1'!I4:I32873,"=Uzun",'[7]TABLO-1'!D4:D32873,"=PINARHİSAR")/P8</f>
        <v>0</v>
      </c>
      <c r="K13" s="10">
        <f>SUMIFS('[7]TABLO-1'!Z4:Z32873,'[7]TABLO-1'!H4:H32873,"=Dağıtım-AG",'[7]TABLO-1'!J4:J32873,"=Dışsal",'[7]TABLO-1'!K4:K32873,"=Bildirimsiz",'[7]TABLO-1'!I4:I32873,"=Uzun",'[7]TABLO-1'!D4:D32873,"=PINARHİSAR")/P14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9935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Sebep",'[7]TABLO-1'!K4:K32873,"=Bildirimsiz",'[7]TABLO-1'!I4:I32873,"=Uzun",'[7]TABLO-1'!D4:D32873,"=PINARHİSAR")/P6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Sebep",'[7]TABLO-1'!K4:K32873,"=Bildirimsiz",'[7]TABLO-1'!I4:I32873,"=Uzun",'[7]TABLO-1'!D4:D32873,"=PINARHİSAR")/P12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Sebep",'[7]TABLO-1'!K4:K32873,"=Bildirimsiz",'[7]TABLO-1'!I4:I32873,"=Uzun",'[7]TABLO-1'!D4:D32873,"=PINARHİSAR")/P7</f>
        <v>0</v>
      </c>
      <c r="H14" s="10">
        <f>SUMIFS('[7]TABLO-1'!X4:X32873,'[7]TABLO-1'!H4:H32873,"=Dağıtım-AG",'[7]TABLO-1'!J4:J32873,"=Mücbir Sebep",'[7]TABLO-1'!K4:K32873,"=Bildirimsiz",'[7]TABLO-1'!I4:I32873,"=Uzun",'[7]TABLO-1'!D4:D32873,"=PINARHİSAR")/P13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Sebep",'[7]TABLO-1'!K4:K32873,"=Bildirimsiz",'[7]TABLO-1'!I4:I32873,"=Uzun",'[7]TABLO-1'!D4:D32873,"=PINARHİSAR")/P8</f>
        <v>0</v>
      </c>
      <c r="K14" s="10">
        <f>SUMIFS('[7]TABLO-1'!Z4:Z32873,'[7]TABLO-1'!H4:H32873,"=Dağıtım-AG",'[7]TABLO-1'!J4:J32873,"=Mücbir Sebep",'[7]TABLO-1'!K4:K32873,"=Bildirimsiz",'[7]TABLO-1'!I4:I32873,"=Uzun",'[7]TABLO-1'!D4:D32873,"=PINARHİSAR")/P14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5949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SUMIFS('[7]TABLO-1'!U4:U32873,'[7]TABLO-1'!H4:H32873,"=Dağıtım-AG",'[7]TABLO-1'!J4:J32873,"=Güvenlik",'[7]TABLO-1'!K4:K32873,"=Bildirimsiz",'[7]TABLO-1'!I4:I32873,"=Uzun",'[7]TABLO-1'!D4:D32873,"=PINARHİSAR")/P6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SUMIFS('[7]TABLO-1'!V4:V32873,'[7]TABLO-1'!H4:H32873,"=Dağıtım-AG",'[7]TABLO-1'!J4:J32873,"=Güvenlik",'[7]TABLO-1'!K4:K32873,"=Bildirimsiz",'[7]TABLO-1'!I4:I32873,"=Uzun",'[7]TABLO-1'!D4:D32873,"=PINARHİSAR")/P12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SUMIFS('[7]TABLO-1'!W4:W32873,'[7]TABLO-1'!H4:H32873,"=Dağıtım-AG",'[7]TABLO-1'!J4:J32873,"=Güvenlik",'[7]TABLO-1'!K4:K32873,"=Bildirimsiz",'[7]TABLO-1'!I4:I32873,"=Uzun",'[7]TABLO-1'!D4:D32873,"=PINARHİSAR")/P7</f>
        <v>0</v>
      </c>
      <c r="H15" s="10">
        <f>SUMIFS('[7]TABLO-1'!X4:X32873,'[7]TABLO-1'!H4:H32873,"=Dağıtım-AG",'[7]TABLO-1'!J4:J32873,"=Güvenlik",'[7]TABLO-1'!K4:K32873,"=Bildirimsiz",'[7]TABLO-1'!I4:I32873,"=Uzun",'[7]TABLO-1'!D4:D32873,"=PINARHİSAR")/P13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SUMIFS('[7]TABLO-1'!Y4:Y32873,'[7]TABLO-1'!H4:H32873,"=Dağıtım-AG",'[7]TABLO-1'!J4:J32873,"=Güvenlik",'[7]TABLO-1'!K4:K32873,"=Bildirimsiz",'[7]TABLO-1'!I4:I32873,"=Uzun",'[7]TABLO-1'!D4:D32873,"=PINARHİSAR")/P8</f>
        <v>0</v>
      </c>
      <c r="K15" s="10">
        <f>SUMIFS('[7]TABLO-1'!Z4:Z32873,'[7]TABLO-1'!H4:H32873,"=Dağıtım-AG",'[7]TABLO-1'!J4:J32873,"=Güvenlik",'[7]TABLO-1'!K4:K32873,"=Bildirimsiz",'[7]TABLO-1'!I4:I32873,"=Uzun",'[7]TABLO-1'!D4:D32873,"=PINARHİSAR")/P14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15884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37.43233333225362</v>
      </c>
      <c r="H16" s="10">
        <f t="shared" si="4"/>
        <v>20.994224123316702</v>
      </c>
      <c r="I16" s="10">
        <f t="shared" si="4"/>
        <v>21.07653814038699</v>
      </c>
      <c r="J16" s="10">
        <f>SUM(J6:J15)</f>
        <v>75.462318842018362</v>
      </c>
      <c r="K16" s="10">
        <f>SUM(K6:K15)</f>
        <v>102.18291029132234</v>
      </c>
      <c r="L16" s="10">
        <f>SUM(L6:L15)</f>
        <v>101.77597527835496</v>
      </c>
      <c r="M16" s="11">
        <f t="shared" si="4"/>
        <v>51.496187444671563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9985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İşletmecisi",'[7]TABLO-1'!K4:K32873,"=Bildirimli",'[7]TABLO-1'!I4:I32873,"=Uzun",'[7]TABLO-1'!D4:D32873,"=PINARHİSAR")/P6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İşletmecisi",'[7]TABLO-1'!K4:K32873,"=Bildirimli",'[7]TABLO-1'!I4:I32873,"=Uzun",'[7]TABLO-1'!D4:D32873,"=PINARHİSAR")/P12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İşletmecisi",'[7]TABLO-1'!K4:K32873,"=Bildirimli",'[7]TABLO-1'!I4:I32873,"=Uzun",'[7]TABLO-1'!D4:D32873,"=PINARHİSAR")/P7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İşletmecisi",'[7]TABLO-1'!K4:K32873,"=Bildirimli",'[7]TABLO-1'!I4:I32873,"=Uzun",'[7]TABLO-1'!D4:D32873,"=PINARHİSAR")/P13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İşletmecisi",'[7]TABLO-1'!K4:K32873,"=Bildirimli",'[7]TABLO-1'!I4:I32873,"=Uzun",'[7]TABLO-1'!D4:D32873,"=PINARHİSAR")/P8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İşletmecisi",'[7]TABLO-1'!K4:K32873,"=Bildirimli",'[7]TABLO-1'!I4:I32873,"=Uzun",'[7]TABLO-1'!D4:D32873,"=PINARHİSAR")/P14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İşletmecisi",'[7]TABLO-1'!K4:K32873,"=Bildirimli",'[7]TABLO-1'!I4:I32873,"=Uzun",'[7]TABLO-1'!D4:D32873,"=PINARHİSAR")/P6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İşletmecisi",'[7]TABLO-1'!K4:K32873,"=Bildirimli",'[7]TABLO-1'!I4:I32873,"=Uzun",'[7]TABLO-1'!D4:D32873,"=PINARHİSAR")/P12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İşletmecisi",'[7]TABLO-1'!K4:K32873,"=Bildirimli",'[7]TABLO-1'!I4:I32873,"=Uzun",'[7]TABLO-1'!D4:D32873,"=PINARHİSAR")/P7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İşletmecisi",'[7]TABLO-1'!K4:K32873,"=Bildirimli",'[7]TABLO-1'!I4:I32873,"=Uzun",'[7]TABLO-1'!D4:D32873,"=PINARHİSAR")/P13</f>
        <v>2.5062908908393501E-2</v>
      </c>
      <c r="I22" s="10">
        <f t="shared" ref="I22:I25" si="6">IFERROR((((G22*$P$7)+(H22*$P$13))/$P$20),"0,00")</f>
        <v>2.4937406109653424E-2</v>
      </c>
      <c r="J22" s="10">
        <f>SUMIFS('[7]TABLO-1'!Y4:Y32873,'[7]TABLO-1'!H4:H32873,"=Dağıtım-OG",'[7]TABLO-1'!J4:J32873,"=Şebeke İşletmecisi",'[7]TABLO-1'!K4:K32873,"=Bildirimli",'[7]TABLO-1'!I4:I32873,"=Uzun",'[7]TABLO-1'!D4:D32873,"=PINARHİSAR")/P8</f>
        <v>0</v>
      </c>
      <c r="K22" s="10">
        <f>SUMIFS('[7]TABLO-1'!Z4:Z32873,'[7]TABLO-1'!H4:H32873,"=Dağıtım-OG",'[7]TABLO-1'!J4:J32873,"=Şebeke İşletmecisi",'[7]TABLO-1'!K4:K32873,"=Bildirimli",'[7]TABLO-1'!I4:I32873,"=Uzun",'[7]TABLO-1'!D4:D32873,"=PINARHİSAR")/P14</f>
        <v>16.407463439555666</v>
      </c>
      <c r="L22" s="10">
        <f t="shared" ref="L22:L25" si="7">IFERROR((((J22*$P$8)+(K22*$P$14))/$P$23),"0,00")</f>
        <v>16.157589803330023</v>
      </c>
      <c r="M22" s="11">
        <f t="shared" ref="M22:M25" si="8">IFERROR((((F22*$P$17)+(I22*$P$20)+(L22*$P$23))/$P$26),"0,00")</f>
        <v>6.1061400225833991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SUMIFS('[7]TABLO-1'!U4:U32873,'[7]TABLO-1'!H4:H32873,"=Dağıtım-OG",'[7]TABLO-1'!J4:J32873,"=Güvenlik",'[7]TABLO-1'!K4:K32873,"=Bildirimli",'[7]TABLO-1'!I4:I32873,"=Uzun",'[7]TABLO-1'!D4:D32873,"=PINARHİSAR")/P6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SUMIFS('[7]TABLO-1'!V4:V32873,'[7]TABLO-1'!H4:H32873,"=Dağıtım-OG",'[7]TABLO-1'!J4:J32873,"=Güvenlik",'[7]TABLO-1'!K4:K32873,"=Bildirimli",'[7]TABLO-1'!I4:I32873,"=Uzun",'[7]TABLO-1'!D4:D32873,"=PINARHİSAR")/P12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SUMIFS('[7]TABLO-1'!W4:W32873,'[7]TABLO-1'!H4:H32873,"=Dağıtım-OG",'[7]TABLO-1'!J4:J32873,"=Güvenlik",'[7]TABLO-1'!K4:K32873,"=Bildirimli",'[7]TABLO-1'!I4:I32873,"=Uzun",'[7]TABLO-1'!D4:D32873,"=PINARHİSAR")/P7</f>
        <v>0</v>
      </c>
      <c r="H23" s="10">
        <f>SUMIFS('[7]TABLO-1'!X4:X32873,'[7]TABLO-1'!H4:H32873,"=Dağıtım-OG",'[7]TABLO-1'!J4:J32873,"=Güvenlik",'[7]TABLO-1'!K4:K32873,"=Bildirimli",'[7]TABLO-1'!I4:I32873,"=Uzun",'[7]TABLO-1'!D4:D32873,"=PINARHİSAR")/P13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SUMIFS('[7]TABLO-1'!Y4:Y32873,'[7]TABLO-1'!H4:H32873,"=Dağıtım-OG",'[7]TABLO-1'!J4:J32873,"=Güvenlik",'[7]TABLO-1'!K4:K32873,"=Bildirimli",'[7]TABLO-1'!I4:I32873,"=Uzun",'[7]TABLO-1'!D4:D32873,"=PINARHİSAR")/P8</f>
        <v>0</v>
      </c>
      <c r="K23" s="10">
        <f>SUMIFS('[7]TABLO-1'!Z4:Z32873,'[7]TABLO-1'!H4:H32873,"=Dağıtım-OG",'[7]TABLO-1'!J4:J32873,"=Güvenlik",'[7]TABLO-1'!K4:K32873,"=Bildirimli",'[7]TABLO-1'!I4:I32873,"=Uzun",'[7]TABLO-1'!D4:D32873,"=PINARHİSAR")/P14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6041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İşletmecisi",'[7]TABLO-1'!K4:K32873,"=Bildirimli",'[7]TABLO-1'!I4:I32873,"=Uzun",'[7]TABLO-1'!D4:D32873,"=PINARHİSAR")/P6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İşletmecisi",'[7]TABLO-1'!K4:K32873,"=Bildirimli",'[7]TABLO-1'!I4:I32873,"=Uzun",'[7]TABLO-1'!D4:D32873,"=PINARHİSAR")/P12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İşletmecisi",'[7]TABLO-1'!K4:K32873,"=Bildirimli",'[7]TABLO-1'!I4:I32873,"=Uzun",'[7]TABLO-1'!D4:D32873,"=PINARHİSAR")/P7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İşletmecisi",'[7]TABLO-1'!K4:K32873,"=Bildirimli",'[7]TABLO-1'!I4:I32873,"=Uzun",'[7]TABLO-1'!D4:D32873,"=PINARHİSAR")/P13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İşletmecisi",'[7]TABLO-1'!K4:K32873,"=Bildirimli",'[7]TABLO-1'!I4:I32873,"=Uzun",'[7]TABLO-1'!D4:D32873,"=PINARHİSAR")/P8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İşletmecisi",'[7]TABLO-1'!K4:K32873,"=Bildirimli",'[7]TABLO-1'!I4:I32873,"=Uzun",'[7]TABLO-1'!D4:D32873,"=PINARHİSAR")/P14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SUMIFS('[7]TABLO-1'!U4:U32873,'[7]TABLO-1'!H4:H32873,"=Dağıtım-AG",'[7]TABLO-1'!J4:J32873,"=Güvenlik",'[7]TABLO-1'!K4:K32873,"=Bildirimli",'[7]TABLO-1'!I4:I32873,"=Uzun",'[7]TABLO-1'!D4:D32873,"=PINARHİSAR")/P6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SUMIFS('[7]TABLO-1'!V4:V32873,'[7]TABLO-1'!H4:H32873,"=Dağıtım-AG",'[7]TABLO-1'!J4:J32873,"=Güvenlik",'[7]TABLO-1'!K4:K32873,"=Bildirimli",'[7]TABLO-1'!I4:I32873,"=Uzun",'[7]TABLO-1'!D4:D32873,"=PINARHİSAR")/P12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SUMIFS('[7]TABLO-1'!W4:W32873,'[7]TABLO-1'!H4:H32873,"=Dağıtım-AG",'[7]TABLO-1'!J4:J32873,"=Güvenlik",'[7]TABLO-1'!K4:K32873,"=Bildirimli",'[7]TABLO-1'!I4:I32873,"=Uzun",'[7]TABLO-1'!D4:D32873,"=PINARHİSAR")/P7</f>
        <v>0</v>
      </c>
      <c r="H25" s="10">
        <f>SUMIFS('[7]TABLO-1'!X4:X32873,'[7]TABLO-1'!H4:H32873,"=Dağıtım-AG",'[7]TABLO-1'!J4:J32873,"=Güvenlik",'[7]TABLO-1'!K4:K32873,"=Bildirimli",'[7]TABLO-1'!I4:I32873,"=Uzun",'[7]TABLO-1'!D4:D32873,"=PINARHİSAR")/P13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SUMIFS('[7]TABLO-1'!Y4:Y32873,'[7]TABLO-1'!H4:H32873,"=Dağıtım-AG",'[7]TABLO-1'!J4:J32873,"=Güvenlik",'[7]TABLO-1'!K4:K32873,"=Bildirimli",'[7]TABLO-1'!I4:I32873,"=Uzun",'[7]TABLO-1'!D4:D32873,"=PINARHİSAR")/P8</f>
        <v>0</v>
      </c>
      <c r="K25" s="10">
        <f>SUMIFS('[7]TABLO-1'!Z4:Z32873,'[7]TABLO-1'!H4:H32873,"=Dağıtım-AG",'[7]TABLO-1'!J4:J32873,"=Güvenlik",'[7]TABLO-1'!K4:K32873,"=Bildirimli",'[7]TABLO-1'!I4:I32873,"=Uzun",'[7]TABLO-1'!D4:D32873,"=PINARHİSAR")/P14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2.5062908908393501E-2</v>
      </c>
      <c r="I26" s="10">
        <f t="shared" si="9"/>
        <v>2.4937406109653424E-2</v>
      </c>
      <c r="J26" s="10">
        <f t="shared" si="9"/>
        <v>0</v>
      </c>
      <c r="K26" s="10">
        <f t="shared" si="9"/>
        <v>16.407463439555666</v>
      </c>
      <c r="L26" s="10">
        <f t="shared" si="9"/>
        <v>16.157589803330023</v>
      </c>
      <c r="M26" s="11">
        <f t="shared" si="9"/>
        <v>6.1061400225833991</v>
      </c>
      <c r="O26" s="43" t="s">
        <v>22</v>
      </c>
      <c r="P26" s="44">
        <f>P20+P17+P23</f>
        <v>16026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İşletmecisi",'[7]TABLO-1'!K4:K32873,"=Bildirimsiz",'[7]TABLO-1'!I4:I32873,"=Uzun",'[7]TABLO-1'!D4:D32873,"=PINARHİSAR")/P6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İşletmecisi",'[7]TABLO-1'!K4:K32873,"=Bildirimsiz",'[7]TABLO-1'!I4:I32873,"=Uzun",'[7]TABLO-1'!D4:D32873,"=PINARHİSAR")/P12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İşletmecisi",'[7]TABLO-1'!K4:K32873,"=Bildirimsiz",'[7]TABLO-1'!I4:I32873,"=Uzun",'[7]TABLO-1'!D4:D32873,"=PINARHİSAR")/P7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İşletmecisi",'[7]TABLO-1'!K4:K32873,"=Bildirimsiz",'[7]TABLO-1'!I4:I32873,"=Uzun",'[7]TABLO-1'!D4:D32873,"=PINARHİSAR")/P13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İşletmecisi",'[7]TABLO-1'!K4:K32873,"=Bildirimsiz",'[7]TABLO-1'!I4:I32873,"=Uzun",'[7]TABLO-1'!D4:D32873,"=PINARHİSAR")/P8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İşletmecisi",'[7]TABLO-1'!K4:K32873,"=bildirimsiz",'[7]TABLO-1'!I4:I32873,"=Uzun",'[7]TABLO-1'!D4:D32873,"=PINARHİSAR")/P14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Sebep",'[7]TABLO-1'!K4:K32873,"=Bildirimsiz",'[7]TABLO-1'!I4:I32873,"=Uzun",'[7]TABLO-1'!D4:D32873,"=PINARHİSAR")/P6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Sebep",'[7]TABLO-1'!K4:K32873,"=Bildirimsiz",'[7]TABLO-1'!I4:I32873,"=Uzun",'[7]TABLO-1'!D4:D32873,"=PINARHİSAR")/P12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Sebep",'[7]TABLO-1'!K4:K32873,"=Bildirimsiz",'[7]TABLO-1'!I4:I32873,"=Uzun",'[7]TABLO-1'!D4:D32873,"=PINARHİSAR")/P7</f>
        <v>0</v>
      </c>
      <c r="H32" s="10">
        <f>SUMIFS('[7]TABLO-1'!R4:R32873,'[7]TABLO-1'!H4:H32873,"=İletim",'[7]TABLO-1'!J4:J32873,"=Mücbir Sebep",'[7]TABLO-1'!K4:K32873,"=Bildirimsiz",'[7]TABLO-1'!I4:I32873,"=Uzun",'[7]TABLO-1'!D4:D32873,"=PINARHİSAR")/P13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Sebep",'[7]TABLO-1'!K4:K32873,"=Bildirimsiz",'[7]TABLO-1'!I4:I32873,"=Uzun",'[7]TABLO-1'!D4:D32873,"=PINARHİSAR")/P8</f>
        <v>0</v>
      </c>
      <c r="K32" s="10">
        <f>SUMIFS('[7]TABLO-1'!T4:T32873,'[7]TABLO-1'!H4:H32873,"=İletim",'[7]TABLO-1'!J4:J32873,"=Mücbir Sebep",'[7]TABLO-1'!K4:K32873,"=bildirimsiz",'[7]TABLO-1'!I4:I32873,"=Uzun",'[7]TABLO-1'!D4:D32873,"=PINARHİSAR")/P14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İşletmecisi",'[7]TABLO-1'!K4:K32873,"=Bildirimsiz",'[7]TABLO-1'!I4:I32873,"=Uzun",'[7]TABLO-1'!D4:D32873,"=PINARHİSAR")/P6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İşletmecisi",'[7]TABLO-1'!K4:K32873,"=Bildirimsiz",'[7]TABLO-1'!I4:I32873,"=Uzun",'[7]TABLO-1'!D4:D32873,"=PINARHİSAR")/P12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İşletmecisi",'[7]TABLO-1'!K4:K32873,"=Bildirimsiz",'[7]TABLO-1'!I4:I32873,"=Uzun",'[7]TABLO-1'!D4:D32873,"=PINARHİSAR")/P7</f>
        <v>1.94</v>
      </c>
      <c r="H33" s="10">
        <f>SUMIFS('[7]TABLO-1'!R4:R32873,'[7]TABLO-1'!H4:H32873,"=Dağıtım-OG",'[7]TABLO-1'!J4:J32873,"=Şebeke İşletmecisi",'[7]TABLO-1'!K4:K32873,"=Bildirimsiz",'[7]TABLO-1'!I4:I32873,"=Uzun",'[7]TABLO-1'!D4:D32873,"=PINARHİSAR")/P13</f>
        <v>0.46552591847005537</v>
      </c>
      <c r="I33" s="10">
        <f t="shared" si="11"/>
        <v>0.47290936404606909</v>
      </c>
      <c r="J33" s="10">
        <f>SUMIFS('[7]TABLO-1'!S4:S32873,'[7]TABLO-1'!H4:H32873,"=Dağıtım-OG",'[7]TABLO-1'!J4:J32873,"=Şebeke İşletmecisi",'[7]TABLO-1'!K4:K32873,"=Bildirimsiz",'[7]TABLO-1'!I4:I32873,"=Uzun",'[7]TABLO-1'!D4:D32873,"=PINARHİSAR")/P8</f>
        <v>3.7934782608695654</v>
      </c>
      <c r="K33" s="10">
        <f>SUMIFS('[7]TABLO-1'!T4:T32873,'[7]TABLO-1'!H4:H32873,"=Dağıtım-OG",'[7]TABLO-1'!J4:J32873,"=Şebeke İşletmecisi",'[7]TABLO-1'!K4:K32873,"=bildirimsiz",'[7]TABLO-1'!I4:I32873,"=Uzun",'[7]TABLO-1'!D4:D32873,"=PINARHİSAR")/P14</f>
        <v>5.6661623802319721</v>
      </c>
      <c r="L33" s="10">
        <f t="shared" si="12"/>
        <v>5.6376427743751032</v>
      </c>
      <c r="M33" s="11">
        <f t="shared" si="13"/>
        <v>2.4197553974790966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SUMIFS('[7]TABLO-1'!O4:O32873,'[7]TABLO-1'!H4:H32873,"=Dağıtım-OG",'[7]TABLO-1'!J4:J32873,"=Dışsal",'[7]TABLO-1'!K4:K32873,"=Bildirimsiz",'[7]TABLO-1'!I4:I32873,"=Uzun",'[7]TABLO-1'!D4:D32873,"=PINARHİSAR")/P6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SUMIFS('[7]TABLO-1'!P4:P32873,'[7]TABLO-1'!H4:H32873,"=Dağıtım-OG",'[7]TABLO-1'!J4:J32873,"=Dışsal",'[7]TABLO-1'!K4:K32873,"=Bildirimsiz",'[7]TABLO-1'!I4:I32873,"=Uzun",'[7]TABLO-1'!D4:D32873,"=PINARHİSAR")/P12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SUMIFS('[7]TABLO-1'!Q4:Q32873,'[7]TABLO-1'!H4:H32873,"=Dağıtım-OG",'[7]TABLO-1'!J4:J32873,"=Dışsal",'[7]TABLO-1'!K4:K32873,"=Bildirimsiz",'[7]TABLO-1'!I4:I32873,"=Uzun",'[7]TABLO-1'!D4:D32873,"=PINARHİSAR")/P7</f>
        <v>0</v>
      </c>
      <c r="H34" s="10">
        <f>SUMIFS('[7]TABLO-1'!R4:R32873,'[7]TABLO-1'!H4:H32873,"=Dağıtım-OG",'[7]TABLO-1'!J4:J32873,"=Dışsal",'[7]TABLO-1'!K4:K32873,"=Bildirimsiz",'[7]TABLO-1'!I4:I32873,"=Uzun",'[7]TABLO-1'!D4:D32873,"=PINARHİSAR")/P13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SUMIFS('[7]TABLO-1'!S4:S32873,'[7]TABLO-1'!H4:H32873,"=Dağıtım-OG",'[7]TABLO-1'!J4:J32873,"=Dışsal",'[7]TABLO-1'!K4:K32873,"=Bildirimsiz",'[7]TABLO-1'!I4:I32873,"=Uzun",'[7]TABLO-1'!D4:D32873,"=PINARHİSAR")/P8</f>
        <v>0</v>
      </c>
      <c r="K34" s="10">
        <f>SUMIFS('[7]TABLO-1'!T4:T32873,'[7]TABLO-1'!H4:H32873,"=Dağıtım-OG",'[7]TABLO-1'!J4:J32873,"=Dışsal",'[7]TABLO-1'!K4:K32873,"=bildirimsiz",'[7]TABLO-1'!I4:I32873,"=Uzun",'[7]TABLO-1'!D4:D32873,"=PINARHİSAR")/P14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Sebep",'[7]TABLO-1'!K4:K32873,"=Bildirimsiz",'[7]TABLO-1'!I4:I32873,"=Uzun",'[7]TABLO-1'!D4:D32873,"=PINARHİSAR")/P6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Sebep",'[7]TABLO-1'!K4:K32873,"=Bildirimsiz",'[7]TABLO-1'!I4:I32873,"=Uzun",'[7]TABLO-1'!D4:D32873,"=PINARHİSAR")/P12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Sebep",'[7]TABLO-1'!K4:K32873,"=Bildirimsiz",'[7]TABLO-1'!I4:I32873,"=Uzun",'[7]TABLO-1'!D4:D32873,"=PINARHİSAR")/P7</f>
        <v>0</v>
      </c>
      <c r="H35" s="10">
        <f>SUMIFS('[7]TABLO-1'!R4:R32873,'[7]TABLO-1'!H4:H32873,"=Dağıtım-OG",'[7]TABLO-1'!J4:J32873,"=Mücbir Sebep",'[7]TABLO-1'!K4:K32873,"=Bildirimsiz",'[7]TABLO-1'!I4:I32873,"=Uzun",'[7]TABLO-1'!D4:D32873,"=PINARHİSAR")/P13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Sebep",'[7]TABLO-1'!K4:K32873,"=Bildirimsiz",'[7]TABLO-1'!I4:I32873,"=Uzun",'[7]TABLO-1'!D4:D32873,"=PINARHİSAR")/P8</f>
        <v>0</v>
      </c>
      <c r="K35" s="10">
        <f>SUMIFS('[7]TABLO-1'!T4:T32873,'[7]TABLO-1'!H4:H32873,"=Dağıtım-OG",'[7]TABLO-1'!J4:J32873,"=Mücbir Sebep",'[7]TABLO-1'!K4:K32873,"=bildirimsiz",'[7]TABLO-1'!I4:I32873,"=Uzun",'[7]TABLO-1'!D4:D32873,"=PINARHİSAR")/P14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SUMIFS('[7]TABLO-1'!O4:O32873,'[7]TABLO-1'!H4:H32873,"=Dağıtım-OG",'[7]TABLO-1'!J4:J32873,"=Güvenlik",'[7]TABLO-1'!K4:K32873,"=Bildirimsiz",'[7]TABLO-1'!I4:I32873,"=Uzun",'[7]TABLO-1'!D4:D32873,"=PINARHİSAR")/P6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SUMIFS('[7]TABLO-1'!P4:P32873,'[7]TABLO-1'!H4:H32873,"=Dağıtım-OG",'[7]TABLO-1'!J4:J32873,"=Güvenlik",'[7]TABLO-1'!K4:K32873,"=Bildirimsiz",'[7]TABLO-1'!I4:I32873,"=Uzun",'[7]TABLO-1'!D4:D32873,"=PINARHİSAR")/P12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SUMIFS('[7]TABLO-1'!Q4:Q32873,'[7]TABLO-1'!H4:H32873,"=Dağıtım-OG",'[7]TABLO-1'!J4:J32873,"=Güvenlik",'[7]TABLO-1'!K4:K32873,"=Bildirimsiz",'[7]TABLO-1'!I4:I32873,"=Uzun",'[7]TABLO-1'!D4:D32873,"=PINARHİSAR")/P7</f>
        <v>0</v>
      </c>
      <c r="H36" s="10">
        <f>SUMIFS('[7]TABLO-1'!R4:R32873,'[7]TABLO-1'!H4:H32873,"=Dağıtım-OG",'[7]TABLO-1'!J4:J32873,"=Güvenlik",'[7]TABLO-1'!K4:K32873,"=Bildirimsiz",'[7]TABLO-1'!I4:I32873,"=Uzun",'[7]TABLO-1'!D4:D32873,"=PINARHİSAR")/P13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SUMIFS('[7]TABLO-1'!S4:S32873,'[7]TABLO-1'!H4:H32873,"=Dağıtım-OG",'[7]TABLO-1'!J4:J32873,"=Güvenlik",'[7]TABLO-1'!K4:K32873,"=Bildirimsiz",'[7]TABLO-1'!I4:I32873,"=Uzun",'[7]TABLO-1'!D4:D32873,"=PINARHİSAR")/P8</f>
        <v>0</v>
      </c>
      <c r="K36" s="10">
        <f>SUMIFS('[7]TABLO-1'!T4:T32873,'[7]TABLO-1'!H4:H32873,"=Dağıtım-OG",'[7]TABLO-1'!J4:J32873,"=Güvenlik",'[7]TABLO-1'!K4:K32873,"=bildirimsiz",'[7]TABLO-1'!I4:I32873,"=Uzun",'[7]TABLO-1'!D4:D32873,"=PINARHİSAR")/P14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İşletmecisi",'[7]TABLO-1'!K4:K32873,"=Bildirimsiz",'[7]TABLO-1'!I4:I32873,"=Uzun",'[7]TABLO-1'!D4:D32873,"=PINARHİSAR")/P6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İşletmecisi",'[7]TABLO-1'!K4:K32873,"=Bildirimsiz",'[7]TABLO-1'!I4:I32873,"=Uzun",'[7]TABLO-1'!D4:D32873,"=PINARHİSAR")/P12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İşletmecisi",'[7]TABLO-1'!K4:K32873,"=Bildirimsiz",'[7]TABLO-1'!I4:I32873,"=Uzun",'[7]TABLO-1'!D4:D32873,"=PINARHİSAR")/P7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İşletmecisi",'[7]TABLO-1'!K4:K32873,"=Bildirimsiz",'[7]TABLO-1'!I4:I32873,"=Uzun",'[7]TABLO-1'!D4:D32873,"=PINARHİSAR")/P13</f>
        <v>5.0629089079013589E-2</v>
      </c>
      <c r="I37" s="10">
        <f t="shared" si="11"/>
        <v>5.0375563345017527E-2</v>
      </c>
      <c r="J37" s="12">
        <f>SUMIFS('[7]TABLO-1'!S4:S32873,'[7]TABLO-1'!H4:H32873,"=Dağıtım-AG",'[7]TABLO-1'!J4:J32873,"=Şebeke İşletmecisi",'[7]TABLO-1'!K4:K32873,"=Bildirimsiz",'[7]TABLO-1'!I4:I32873,"=Uzun",'[7]TABLO-1'!D4:D32873,"=PINARHİSAR")/P8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İşletmecisi",'[7]TABLO-1'!K4:K32873,"=bildirimsiz",'[7]TABLO-1'!I4:I32873,"=Uzun",'[7]TABLO-1'!D4:D32873,"=PINARHİSAR")/P14</f>
        <v>0.19616742309631871</v>
      </c>
      <c r="L37" s="10">
        <f t="shared" si="12"/>
        <v>0.19317993709650719</v>
      </c>
      <c r="M37" s="11">
        <f t="shared" si="13"/>
        <v>0.10420566579308624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SUMIFS('[7]TABLO-1'!O4:O32873,'[7]TABLO-1'!H4:H32873,"=Dağıtım-AG",'[7]TABLO-1'!J4:J32873,"=Dışsal",'[7]TABLO-1'!K4:K32873,"=Bildirimsiz",'[7]TABLO-1'!I4:I32873,"=Uzun",'[7]TABLO-1'!D4:D32873,"=PINARHİSAR")/P6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SUMIFS('[7]TABLO-1'!P4:P32873,'[7]TABLO-1'!H4:H32873,"=Dağıtım-AG",'[7]TABLO-1'!J4:J32873,"=Dışsal",'[7]TABLO-1'!K4:K32873,"=Bildirimsiz",'[7]TABLO-1'!I4:I32873,"=Uzun",'[7]TABLO-1'!D4:D32873,"=PINARHİSAR")/P12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SUMIFS('[7]TABLO-1'!Q4:Q32873,'[7]TABLO-1'!H4:H32873,"=Dağıtım-AG",'[7]TABLO-1'!J4:J32873,"=Dışsal",'[7]TABLO-1'!K4:K32873,"=Bildirimsiz",'[7]TABLO-1'!I4:I32873,"=Uzun",'[7]TABLO-1'!D4:D32873,"=PINARHİSAR")/P7</f>
        <v>0</v>
      </c>
      <c r="H38" s="10">
        <f>SUMIFS('[7]TABLO-1'!R4:R32873,'[7]TABLO-1'!H4:H32873,"=Dağıtım-AG",'[7]TABLO-1'!J4:J32873,"=Dışsal",'[7]TABLO-1'!K4:K32873,"=Bildirimsiz",'[7]TABLO-1'!I4:I32873,"=Uzun",'[7]TABLO-1'!D4:D32873,"=PINARHİSAR")/P13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SUMIFS('[7]TABLO-1'!S4:S32873,'[7]TABLO-1'!H4:H32873,"=Dağıtım-AG",'[7]TABLO-1'!J4:J32873,"=Dışsal",'[7]TABLO-1'!K4:K32873,"=Bildirimsiz",'[7]TABLO-1'!I4:I32873,"=Uzun",'[7]TABLO-1'!D4:D32873,"=PINARHİSAR")/P8</f>
        <v>0</v>
      </c>
      <c r="K38" s="10">
        <f>SUMIFS('[7]TABLO-1'!T4:T32873,'[7]TABLO-1'!H4:H32873,"=Dağıtım-AG",'[7]TABLO-1'!J4:J32873,"=Dışsal",'[7]TABLO-1'!K4:K32873,"=bildirimsiz",'[7]TABLO-1'!I4:I32873,"=Uzun",'[7]TABLO-1'!D4:D32873,"=PINARHİSAR")/P14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Sebep",'[7]TABLO-1'!K4:K32873,"=Bildirimsiz",'[7]TABLO-1'!I4:I32873,"=Uzun",'[7]TABLO-1'!D4:D32873,"=PINARHİSAR")/P6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Sebep",'[7]TABLO-1'!K4:K32873,"=Bildirimsiz",'[7]TABLO-1'!I4:I32873,"=Uzun",'[7]TABLO-1'!D4:D32873,"=PINARHİSAR")/P12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Sebep",'[7]TABLO-1'!K4:K32873,"=Bildirimsiz",'[7]TABLO-1'!I4:I32873,"=Uzun",'[7]TABLO-1'!D4:D32873,"=PINARHİSAR")/P7</f>
        <v>0</v>
      </c>
      <c r="H39" s="10">
        <f>SUMIFS('[7]TABLO-1'!R4:R32873,'[7]TABLO-1'!H4:H32873,"=Dağıtım-AG",'[7]TABLO-1'!J4:J32873,"=Mücbir Sebep",'[7]TABLO-1'!K4:K32873,"=Bildirimsiz",'[7]TABLO-1'!I4:I32873,"=Uzun",'[7]TABLO-1'!D4:D32873,"=PINARHİSAR")/P13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Sebep",'[7]TABLO-1'!K4:K32873,"=Bildirimsiz",'[7]TABLO-1'!I4:I32873,"=Uzun",'[7]TABLO-1'!D4:D32873,"=PINARHİSAR")/P8</f>
        <v>0</v>
      </c>
      <c r="K39" s="10">
        <f>SUMIFS('[7]TABLO-1'!T4:T32873,'[7]TABLO-1'!H4:H32873,"=Dağıtım-AG",'[7]TABLO-1'!J4:J32873,"=Mücbir Sebep",'[7]TABLO-1'!K4:K32873,"=bildirimsiz",'[7]TABLO-1'!I4:I32873,"=Uzun",'[7]TABLO-1'!D4:D32873,"=PINARHİSAR")/P14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SUMIFS('[7]TABLO-1'!O4:O32873,'[7]TABLO-1'!H4:H32873,"=Dağıtım-AG",'[7]TABLO-1'!J4:J32873,"=Güvenlik",'[7]TABLO-1'!K4:K32873,"=Bildirimsiz",'[7]TABLO-1'!I4:I32873,"=Uzun",'[7]TABLO-1'!D4:D32873,"=PINARHİSAR")/P6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SUMIFS('[7]TABLO-1'!P4:P32873,'[7]TABLO-1'!H4:H32873,"=Dağıtım-AG",'[7]TABLO-1'!J4:J32873,"=Güvenlik",'[7]TABLO-1'!K4:K32873,"=Bildirimsiz",'[7]TABLO-1'!I4:I32873,"=Uzun",'[7]TABLO-1'!D4:D32873,"=PINARHİSAR")/P12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SUMIFS('[7]TABLO-1'!Q4:Q32873,'[7]TABLO-1'!H4:H32873,"=Dağıtım-AG",'[7]TABLO-1'!J4:J32873,"=Güvenlik",'[7]TABLO-1'!K4:K32873,"=Bildirimsiz",'[7]TABLO-1'!I4:I32873,"=Uzun",'[7]TABLO-1'!D4:D32873,"=PINARHİSAR")/P7</f>
        <v>0</v>
      </c>
      <c r="H40" s="10">
        <f>SUMIFS('[7]TABLO-1'!R4:R32873,'[7]TABLO-1'!H4:H32873,"=Dağıtım-AG",'[7]TABLO-1'!J4:J32873,"=Güvenlik",'[7]TABLO-1'!K4:K32873,"=Bildirimsiz",'[7]TABLO-1'!I4:I32873,"=Uzun",'[7]TABLO-1'!D4:D32873,"=PINARHİSAR")/P13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SUMIFS('[7]TABLO-1'!S4:S32873,'[7]TABLO-1'!H4:H32873,"=Dağıtım-AG",'[7]TABLO-1'!J4:J32873,"=Güvenlik",'[7]TABLO-1'!K4:K32873,"=Bildirimsiz",'[7]TABLO-1'!I4:I32873,"=Uzun",'[7]TABLO-1'!D4:D32873,"=PINARHİSAR")/P8</f>
        <v>0</v>
      </c>
      <c r="K40" s="10">
        <f>SUMIFS('[7]TABLO-1'!T4:T32873,'[7]TABLO-1'!H4:H32873,"=Dağıtım-AG",'[7]TABLO-1'!J4:J32873,"=Güvenlik",'[7]TABLO-1'!K4:K32873,"=bildirimsiz",'[7]TABLO-1'!I4:I32873,"=Uzun",'[7]TABLO-1'!D4:D32873,"=PINARHİSAR")/P14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1.94</v>
      </c>
      <c r="H41" s="10">
        <f t="shared" si="14"/>
        <v>0.51615500754906896</v>
      </c>
      <c r="I41" s="10">
        <f t="shared" si="14"/>
        <v>0.52328492739108667</v>
      </c>
      <c r="J41" s="10">
        <f t="shared" si="14"/>
        <v>3.7934782608695654</v>
      </c>
      <c r="K41" s="10">
        <f t="shared" si="14"/>
        <v>5.8623298033282909</v>
      </c>
      <c r="L41" s="10">
        <f t="shared" si="14"/>
        <v>5.83082271147161</v>
      </c>
      <c r="M41" s="10">
        <f t="shared" si="14"/>
        <v>2.5239610632721829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İşletmecisi",'[7]TABLO-1'!K4:K32873,"=Bildirimli",'[7]TABLO-1'!I4:I32873,"=Uzun",'[7]TABLO-1'!D4:D32873,"=PINARHİSAR")/P6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İşletmecisi",'[7]TABLO-1'!K4:K32873,"=Bildirimli",'[7]TABLO-1'!I4:I32873,"=Uzun",'[7]TABLO-1'!D4:D32873,"=PINARHİSAR")/P12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İşletmecisi",'[7]TABLO-1'!K4:K32873,"=Bildirimli",'[7]TABLO-1'!I4:I32873,"=Uzun",'[7]TABLO-1'!D4:D32873,"=PINARHİSAR")/P7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İşletmecisi",'[7]TABLO-1'!K4:K32873,"=Bildirimli",'[7]TABLO-1'!I4:I32873,"=Uzun",'[7]TABLO-1'!D4:D32873,"=PINARHİSAR")/P13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İşletmecisi",'[7]TABLO-1'!K4:K32873,"=Bildirimli",'[7]TABLO-1'!I4:I32873,"=Uzun",'[7]TABLO-1'!D4:D32873,"=PINARHİSAR")/P8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İşletmecisi",'[7]TABLO-1'!K4:K32873,"=bildirimli",'[7]TABLO-1'!I4:I32873,"=Uzun",'[7]TABLO-1'!D4:D32873,"=PINARHİSAR")/P14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İşletmecisi",'[7]TABLO-1'!K4:K32873,"=Bildirimli",'[7]TABLO-1'!I4:I32873,"=Uzun",'[7]TABLO-1'!D4:D32873,"=PINARHİSAR")/P6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İşletmecisi",'[7]TABLO-1'!K4:K32873,"=Bildirimli",'[7]TABLO-1'!I4:I32873,"=Uzun",'[7]TABLO-1'!D4:D32873,"=PINARHİSAR")/P12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İşletmecisi",'[7]TABLO-1'!K4:K32873,"=Bildirimli",'[7]TABLO-1'!I4:I32873,"=Uzun",'[7]TABLO-1'!D4:D32873,"=PINARHİSAR")/P7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İşletmecisi",'[7]TABLO-1'!K4:K32873,"=Bildirimli",'[7]TABLO-1'!I4:I32873,"=Uzun",'[7]TABLO-1'!D4:D32873,"=PINARHİSAR")/P13</f>
        <v>1.0065425264217414E-4</v>
      </c>
      <c r="I47" s="10">
        <f t="shared" ref="I47:I50" si="16">IFERROR((((G47*$P$7)+(H47*$P$13))/$P$20),"0,00")</f>
        <v>1.0015022533800701E-4</v>
      </c>
      <c r="J47" s="10">
        <f>SUMIFS('[7]TABLO-1'!S4:S32873,'[7]TABLO-1'!H4:H32873,"=Dağıtım-OG",'[7]TABLO-1'!J4:J32873,"=Şebeke İşletmecisi",'[7]TABLO-1'!K4:K32873,"=Bildirimli",'[7]TABLO-1'!I4:I32873,"=Uzun",'[7]TABLO-1'!D4:D32873,"=PINARHİSAR")/P8</f>
        <v>0</v>
      </c>
      <c r="K47" s="10">
        <f>SUMIFS('[7]TABLO-1'!T4:T32873,'[7]TABLO-1'!H4:H32873,"=Dağıtım-OG",'[7]TABLO-1'!J4:J32873,"=Şebeke İşletmecisi",'[7]TABLO-1'!K4:K32873,"=bildirimli",'[7]TABLO-1'!I4:I32873,"=Uzun",'[7]TABLO-1'!D4:D32873,"=PINARHİSAR")/P14</f>
        <v>6.5893427466801144E-2</v>
      </c>
      <c r="L47" s="10">
        <f t="shared" ref="L47:L50" si="17">IFERROR((((J47*$P$8)+(K47*$P$14))/$P$23),"0,00")</f>
        <v>6.4889918887601386E-2</v>
      </c>
      <c r="M47" s="11">
        <f t="shared" ref="M47:M50" si="18">IFERROR((((F47*$P$17)+(I47*$P$20)+(L47*$P$23))/$P$26),"0,00")</f>
        <v>2.4522650692624486E-2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SUMIFS('[7]TABLO-1'!O4:O32873,'[7]TABLO-1'!H4:H32873,"=Dağıtım-OG",'[7]TABLO-1'!J4:J32873,"=Güvenlik",'[7]TABLO-1'!K4:K32873,"=Bildirimli",'[7]TABLO-1'!I4:I32873,"=Uzun",'[7]TABLO-1'!D4:D32873,"=PINARHİSAR")/P6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SUMIFS('[7]TABLO-1'!P4:P32873,'[7]TABLO-1'!H4:H32873,"=Dağıtım-OG",'[7]TABLO-1'!J4:J32873,"=Güvenlik",'[7]TABLO-1'!K4:K32873,"=Bildirimli",'[7]TABLO-1'!I4:I32873,"=Uzun",'[7]TABLO-1'!D4:D32873,"=PINARHİSAR")/P12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SUMIFS('[7]TABLO-1'!Q4:Q32873,'[7]TABLO-1'!H4:H32873,"=Dağıtım-OG",'[7]TABLO-1'!J4:J32873,"=Güvenlik",'[7]TABLO-1'!K4:K32873,"=Bildirimli",'[7]TABLO-1'!I4:I32873,"=Uzun",'[7]TABLO-1'!D4:D32873,"=PINARHİSAR")/P7</f>
        <v>0</v>
      </c>
      <c r="H48" s="10">
        <f>SUMIFS('[7]TABLO-1'!R4:R32873,'[7]TABLO-1'!H4:H32873,"=Dağıtım-OG",'[7]TABLO-1'!J4:J32873,"=Güvenlik",'[7]TABLO-1'!K4:K32873,"=Bildirimli",'[7]TABLO-1'!I4:I32873,"=Uzun",'[7]TABLO-1'!D4:D32873,"=PINARHİSAR")/P13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SUMIFS('[7]TABLO-1'!S4:S32873,'[7]TABLO-1'!H4:H32873,"=Dağıtım-OG",'[7]TABLO-1'!J4:J32873,"=Güvenlik",'[7]TABLO-1'!K4:K32873,"=Bildirimli",'[7]TABLO-1'!I4:I32873,"=Uzun",'[7]TABLO-1'!D4:D32873,"=PINARHİSAR")/P8</f>
        <v>0</v>
      </c>
      <c r="K48" s="10">
        <f>SUMIFS('[7]TABLO-1'!T4:T32873,'[7]TABLO-1'!H4:H32873,"=Dağıtım-OG",'[7]TABLO-1'!J4:J32873,"=Güvenlik",'[7]TABLO-1'!K4:K32873,"=bildirimli",'[7]TABLO-1'!I4:I32873,"=Uzun",'[7]TABLO-1'!D4:D32873,"=PINARHİSAR")/P14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İşletmecisi",'[7]TABLO-1'!K4:K32873,"=Bildirimli",'[7]TABLO-1'!I4:I32873,"=Uzun",'[7]TABLO-1'!D4:D32873,"=PINARHİSAR")/P6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İşletmecisi",'[7]TABLO-1'!K4:K32873,"=Bildirimli",'[7]TABLO-1'!I4:I32873,"=Uzun",'[7]TABLO-1'!D4:D32873,"=PINARHİSAR")/P12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İşletmecisi",'[7]TABLO-1'!K4:K32873,"=Bildirimli",'[7]TABLO-1'!I4:I32873,"=Uzun",'[7]TABLO-1'!D4:D32873,"=PINARHİSAR")/P7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İşletmecisi",'[7]TABLO-1'!K4:K32873,"=Bildirimli",'[7]TABLO-1'!I4:I32873,"=Uzun",'[7]TABLO-1'!D4:D32873,"=PINARHİSAR")/P13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İşletmecisi",'[7]TABLO-1'!K4:K32873,"=Bildirimli",'[7]TABLO-1'!I4:I32873,"=Uzun",'[7]TABLO-1'!D4:D32873,"=PINARHİSAR")/P8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İşletmecisi",'[7]TABLO-1'!K4:K32873,"=bildirimli",'[7]TABLO-1'!I4:I32873,"=Uzun",'[7]TABLO-1'!D4:D32873,"=PINARHİSAR")/P14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SUMIFS('[7]TABLO-1'!O4:O32873,'[7]TABLO-1'!H4:H32873,"=Dağıtım-AG",'[7]TABLO-1'!J4:J32873,"=Güvenlik",'[7]TABLO-1'!K4:K32873,"=Bildirimli",'[7]TABLO-1'!I4:I32873,"=Uzun",'[7]TABLO-1'!D4:D32873,"=PINARHİSAR")/P6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SUMIFS('[7]TABLO-1'!P4:P32873,'[7]TABLO-1'!H4:H32873,"=Dağıtım-AG",'[7]TABLO-1'!J4:J32873,"=Güvenlik",'[7]TABLO-1'!K4:K32873,"=Bildirimli",'[7]TABLO-1'!I4:I32873,"=Uzun",'[7]TABLO-1'!D4:D32873,"=PINARHİSAR")/P12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SUMIFS('[7]TABLO-1'!Q4:Q32873,'[7]TABLO-1'!H4:H32873,"=Dağıtım-AG",'[7]TABLO-1'!J4:J32873,"=Güvenlik",'[7]TABLO-1'!K4:K32873,"=Bildirimli",'[7]TABLO-1'!I4:I32873,"=Uzun",'[7]TABLO-1'!D4:D32873,"=PINARHİSAR")/P7</f>
        <v>0</v>
      </c>
      <c r="H50" s="10">
        <f>SUMIFS('[7]TABLO-1'!R4:R32873,'[7]TABLO-1'!H4:H32873,"=Dağıtım-AG",'[7]TABLO-1'!J4:J32873,"=Güvenlik",'[7]TABLO-1'!K4:K32873,"=Bildirimli",'[7]TABLO-1'!I4:I32873,"=Uzun",'[7]TABLO-1'!D4:D32873,"=PINARHİSAR")/P13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SUMIFS('[7]TABLO-1'!S4:S32873,'[7]TABLO-1'!H4:H32873,"=Dağıtım-AG",'[7]TABLO-1'!J4:J32873,"=Güvenlik",'[7]TABLO-1'!K4:K32873,"=Bildirimli",'[7]TABLO-1'!I4:I32873,"=Uzun",'[7]TABLO-1'!D4:D32873,"=PINARHİSAR")/P8</f>
        <v>0</v>
      </c>
      <c r="K50" s="10">
        <f>SUMIFS('[7]TABLO-1'!T4:T32873,'[7]TABLO-1'!H4:H32873,"=Dağıtım-AG",'[7]TABLO-1'!J4:J32873,"=Güvenlik",'[7]TABLO-1'!K4:K32873,"=bildirimli",'[7]TABLO-1'!I4:I32873,"=Uzun",'[7]TABLO-1'!D4:D32873,"=PINARHİSAR")/P14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1.0065425264217414E-4</v>
      </c>
      <c r="I51" s="10">
        <f t="shared" si="19"/>
        <v>1.0015022533800701E-4</v>
      </c>
      <c r="J51" s="10">
        <f t="shared" si="19"/>
        <v>0</v>
      </c>
      <c r="K51" s="10">
        <f t="shared" si="19"/>
        <v>6.5893427466801144E-2</v>
      </c>
      <c r="L51" s="10">
        <f t="shared" si="19"/>
        <v>6.4889918887601386E-2</v>
      </c>
      <c r="M51" s="10">
        <f t="shared" si="19"/>
        <v>2.4522650692624486E-2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SUMIFS('[7]TABLO-1'!O1:O32873,'[7]TABLO-1'!H1:H32873,"=İletim",'[7]TABLO-1'!K1:K32873,"=Bildirimsiz",'[7]TABLO-1'!I1:I32873,"=Kısa",'[7]TABLO-1'!D1:D32873,"=PINARHİSAR")/P6</f>
        <v>#DIV/0!</v>
      </c>
      <c r="D56" s="10" t="e">
        <f>SUMIFS('[7]TABLO-1'!P1:P32873,'[7]TABLO-1'!H1:H32873,"=İletim",'[7]TABLO-1'!K1:K32873,"=Bildirimsiz",'[7]TABLO-1'!I1:I32873,"=Kısa",'[7]TABLO-1'!D1:D32873,"=PINARHİSAR")/P12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SUMIFS('[7]TABLO-1'!Q1:Q32873,'[7]TABLO-1'!H1:H32873,"=İletim",'[7]TABLO-1'!K1:K32873,"=Bildirimsiz",'[7]TABLO-1'!I1:I32873,"=Kısa",'[7]TABLO-1'!D1:D32873,"=PINARHİSAR")/P7</f>
        <v>0</v>
      </c>
      <c r="G56" s="10">
        <f>SUMIFS('[7]TABLO-1'!R1:R32873,'[7]TABLO-1'!H1:H32873,"=İletim",'[7]TABLO-1'!K1:K32873,"=Bildirimsiz",'[7]TABLO-1'!I1:I32873,"=Kısa",'[7]TABLO-1'!D1:D32873,"=PINARHİSAR")/P13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SUMIFS('[7]TABLO-1'!S1:S32873,'[7]TABLO-1'!H1:H32873,"=İletim",'[7]TABLO-1'!K1:K32873,"=Bildirimsiz",'[7]TABLO-1'!I1:I32873,"=Kısa",'[7]TABLO-1'!D1:D32873,"=PINARHİSAR")/P8</f>
        <v>0</v>
      </c>
      <c r="J56" s="10">
        <f>SUMIFS('[7]TABLO-1'!T1:T32873,'[7]TABLO-1'!H1:H32873,"=İletim",'[7]TABLO-1'!K1:K32873,"=Bildirimsiz",'[7]TABLO-1'!I1:I32873,"=Kısa",'[7]TABLO-1'!D1:D32873,"=PINARHİSAR")/P14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SUMIFS('[7]TABLO-1'!O4:O32873,'[7]TABLO-1'!H4:H32873,"=Dağıtım-OG",'[7]TABLO-1'!K4:K32873,"=Bildirimsiz",'[7]TABLO-1'!I4:I32873,"=Kısa",'[7]TABLO-1'!D4:D32873,"=PINARHİSAR")/P6</f>
        <v>#DIV/0!</v>
      </c>
      <c r="D57" s="10" t="e">
        <f>SUMIFS('[7]TABLO-1'!P4:P32873,'[7]TABLO-1'!H4:H32873,"=Dağıtım-OG",'[7]TABLO-1'!K4:K32873,"=Bildirimsiz",'[7]TABLO-1'!I4:I32873,"=Kısa",'[7]TABLO-1'!D4:D32873,"=PINARHİSAR")/P12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SUMIFS('[7]TABLO-1'!Q4:Q32873,'[7]TABLO-1'!H4:H32873,"=Dağıtım-OG",'[7]TABLO-1'!K4:K32873,"=Bildirimsiz",'[7]TABLO-1'!I4:I32873,"=Kısa",'[7]TABLO-1'!D4:D32873,"=PINARHİSAR")/P7</f>
        <v>0.36</v>
      </c>
      <c r="G57" s="10">
        <f>SUMIFS('[7]TABLO-1'!R4:R32873,'[7]TABLO-1'!H4:H32873,"=Dağıtım-OG",'[7]TABLO-1'!K4:K32873,"=Bildirimsiz",'[7]TABLO-1'!I4:I32873,"=Kısa",'[7]TABLO-1'!D4:D32873,"=PINARHİSAR")/P13</f>
        <v>5.0327126321087065E-4</v>
      </c>
      <c r="H57" s="10">
        <f>IFERROR((((F57*$P$7)+(G57*$P$13))/$P$20),"0,00")</f>
        <v>2.3034551827741611E-3</v>
      </c>
      <c r="I57" s="10">
        <f>SUMIFS('[7]TABLO-1'!S4:S32873,'[7]TABLO-1'!H4:H32873,"=Dağıtım-OG",'[7]TABLO-1'!K4:K32873,"=Bildirimsiz",'[7]TABLO-1'!I4:I32873,"=Kısa",'[7]TABLO-1'!D4:D32873,"=PINARHİSAR")/P8</f>
        <v>1.8913043478260869</v>
      </c>
      <c r="J57" s="10">
        <f>SUMIFS('[7]TABLO-1'!T4:T32873,'[7]TABLO-1'!H4:H32873,"=Dağıtım-OG",'[7]TABLO-1'!K4:K32873,"=Bildirimsiz",'[7]TABLO-1'!I4:I32873,"=Kısa",'[7]TABLO-1'!D4:D32873,"=PINARHİSAR")/P14</f>
        <v>1.6954109934442763</v>
      </c>
      <c r="K57" s="10">
        <f>IFERROR((((I57*$P$8)+(J57*$P$14))/$P$23),"0,00")</f>
        <v>1.6983943055785466</v>
      </c>
      <c r="L57" s="11">
        <f>IFERROR((((E57*$P$17)+(H57*$P$20)+(K57*$P$23))/$P$26),"0,00")</f>
        <v>0.64164482715587168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SUMIFS('[7]TABLO-1'!O4:O32873,'[7]TABLO-1'!H4:H32873,"=Dağıtım-AG",'[7]TABLO-1'!K4:K32873,"=Bildirimsiz",'[7]TABLO-1'!I4:I32873,"=Kısa",'[7]TABLO-1'!D4:D32873,"=PINARHİSAR")/P6</f>
        <v>#DIV/0!</v>
      </c>
      <c r="D58" s="10" t="e">
        <f>SUMIFS('[7]TABLO-1'!P4:P32873,'[7]TABLO-1'!H4:H32873,"=Dağıtım-AG",'[7]TABLO-1'!K4:K32873,"=Bildirimsiz",'[7]TABLO-1'!I4:I32873,"=Kısa",'[7]TABLO-1'!D4:D32873,"=PINARHİSAR")/P12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SUMIFS('[7]TABLO-1'!Q4:Q32873,'[7]TABLO-1'!H4:H32873,"=Dağıtım-AG",'[7]TABLO-1'!K4:K32873,"=Bildirimsiz",'[7]TABLO-1'!I4:I32873,"=Kısa",'[7]TABLO-1'!D4:D32873,"=PINARHİSAR")/P7</f>
        <v>0</v>
      </c>
      <c r="G58" s="10">
        <f>SUMIFS('[7]TABLO-1'!R4:R32873,'[7]TABLO-1'!H4:H32873,"=Dağıtım-AG",'[7]TABLO-1'!K4:K32873,"=Bildirimsiz",'[7]TABLO-1'!I4:I32873,"=Kısa",'[7]TABLO-1'!D4:D32873,"=PINARHİSAR")/P13</f>
        <v>0</v>
      </c>
      <c r="H58" s="10">
        <f>IFERROR((((F58*$P$7)+(G58*$P$13))/$P$20),"0,00")</f>
        <v>0</v>
      </c>
      <c r="I58" s="10">
        <f>SUMIFS('[7]TABLO-1'!S4:S32873,'[7]TABLO-1'!H4:H32873,"=Dağıtım-AG",'[7]TABLO-1'!K4:K32873,"=Bildirimsiz",'[7]TABLO-1'!I4:I32873,"=Kısa",'[7]TABLO-1'!D4:D32873,"=PINARHİSAR")/P8</f>
        <v>0</v>
      </c>
      <c r="J58" s="10">
        <f>SUMIFS('[7]TABLO-1'!T4:T32873,'[7]TABLO-1'!H4:H32873,"=Dağıtım-AG",'[7]TABLO-1'!K4:K32873,"=Bildirimsiz",'[7]TABLO-1'!I4:I32873,"=Kısa",'[7]TABLO-1'!D4:D32873,"=PINARHİSAR")/P14</f>
        <v>0</v>
      </c>
      <c r="K58" s="10">
        <f>IFERROR((((I58*$P$8)+(J58*$P$14))/$P$23),"0,00")</f>
        <v>0</v>
      </c>
      <c r="L58" s="11">
        <f>IFERROR((((E58*$P$17)+(H58*$P$20)+(K58*$P$23))/$P$26),"0,00")</f>
        <v>0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0.36</v>
      </c>
      <c r="G59" s="10">
        <f t="shared" si="20"/>
        <v>5.0327126321087065E-4</v>
      </c>
      <c r="H59" s="10">
        <f t="shared" si="20"/>
        <v>2.3034551827741611E-3</v>
      </c>
      <c r="I59" s="10">
        <f t="shared" si="20"/>
        <v>1.8913043478260869</v>
      </c>
      <c r="J59" s="10">
        <f t="shared" si="20"/>
        <v>1.6954109934442763</v>
      </c>
      <c r="K59" s="10">
        <f t="shared" si="20"/>
        <v>1.6983943055785466</v>
      </c>
      <c r="L59" s="10">
        <f t="shared" si="20"/>
        <v>0.64164482715587168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50</v>
      </c>
      <c r="G65" s="27">
        <f>P13</f>
        <v>9935</v>
      </c>
      <c r="H65" s="17">
        <f>SUM(F65:G65)</f>
        <v>9985</v>
      </c>
      <c r="I65" s="17">
        <f>P8</f>
        <v>92</v>
      </c>
      <c r="J65" s="27">
        <f>P14</f>
        <v>5949</v>
      </c>
      <c r="K65" s="17">
        <f>SUM(I65:J65)</f>
        <v>6041</v>
      </c>
      <c r="L65" s="17">
        <f>H65+E65+K65</f>
        <v>16026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Q71"/>
  <sheetViews>
    <sheetView zoomScale="70" zoomScaleNormal="70" workbookViewId="0">
      <selection activeCell="P15" sqref="P15:Q15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4" width="22" style="1" customWidth="1"/>
    <col min="5" max="5" width="21" style="1" customWidth="1"/>
    <col min="6" max="6" width="22.42578125" style="1" customWidth="1"/>
    <col min="7" max="7" width="23.42578125" style="1" customWidth="1"/>
    <col min="8" max="8" width="22.7109375" style="1" customWidth="1"/>
    <col min="9" max="11" width="22" style="1" customWidth="1"/>
    <col min="12" max="12" width="18.42578125" style="1" customWidth="1"/>
    <col min="13" max="13" width="18.85546875" style="1" bestFit="1" customWidth="1"/>
    <col min="14" max="14" width="9.140625" style="1"/>
    <col min="15" max="15" width="38.85546875" style="1" customWidth="1"/>
    <col min="16" max="16" width="11.7109375" style="1" customWidth="1"/>
    <col min="17" max="17" width="14.28515625" style="1" customWidth="1"/>
    <col min="18" max="16384" width="9.140625" style="1"/>
  </cols>
  <sheetData>
    <row r="1" spans="1:17" x14ac:dyDescent="0.25">
      <c r="A1" s="1" t="s">
        <v>45</v>
      </c>
    </row>
    <row r="2" spans="1:17" ht="15.75" x14ac:dyDescent="0.25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7" ht="16.5" customHeight="1" thickBot="1" x14ac:dyDescent="0.3">
      <c r="B3" s="29" t="s">
        <v>6</v>
      </c>
      <c r="C3" s="36" t="s">
        <v>44</v>
      </c>
    </row>
    <row r="4" spans="1:17" ht="15" customHeight="1" thickBot="1" x14ac:dyDescent="0.3">
      <c r="B4" s="55"/>
      <c r="C4" s="56"/>
      <c r="D4" s="57" t="s">
        <v>40</v>
      </c>
      <c r="E4" s="58"/>
      <c r="F4" s="59"/>
      <c r="G4" s="37" t="s">
        <v>41</v>
      </c>
      <c r="H4" s="38"/>
      <c r="I4" s="39"/>
      <c r="J4" s="37" t="s">
        <v>42</v>
      </c>
      <c r="K4" s="38"/>
      <c r="L4" s="39"/>
      <c r="M4" s="2"/>
    </row>
    <row r="5" spans="1:17" ht="15" customHeight="1" thickBot="1" x14ac:dyDescent="0.3">
      <c r="B5" s="30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4" t="s">
        <v>0</v>
      </c>
      <c r="H5" s="4" t="s">
        <v>1</v>
      </c>
      <c r="I5" s="4" t="s">
        <v>13</v>
      </c>
      <c r="J5" s="4" t="s">
        <v>0</v>
      </c>
      <c r="K5" s="4" t="s">
        <v>1</v>
      </c>
      <c r="L5" s="4" t="s">
        <v>13</v>
      </c>
      <c r="M5" s="5" t="s">
        <v>14</v>
      </c>
      <c r="O5" s="21" t="s">
        <v>7</v>
      </c>
      <c r="P5" s="41" t="s">
        <v>8</v>
      </c>
      <c r="Q5" s="41"/>
    </row>
    <row r="6" spans="1:17" ht="15" customHeight="1" thickBot="1" x14ac:dyDescent="0.3">
      <c r="B6" s="30" t="s">
        <v>30</v>
      </c>
      <c r="C6" s="3" t="s">
        <v>4</v>
      </c>
      <c r="D6" s="9" t="e">
        <f>SUMIFS('[7]TABLO-1'!U4:U32873,'[7]TABLO-1'!H4:H32873,"=İletim",'[7]TABLO-1'!J4:J32873,"=Şebeke İşletmecisi",'[7]TABLO-1'!K4:K32873,"=Bildirimsiz",'[7]TABLO-1'!I4:I32873,"=Uzun",'[7]TABLO-1'!D4:D32873,"=DEMİRKÖY")/P6</f>
        <v>#DIV/0!</v>
      </c>
      <c r="E6" s="10" t="e">
        <f>SUMIFS('[7]TABLO-1'!V4:V32873,'[7]TABLO-1'!H4:H32873,"=İletim",'[7]TABLO-1'!J4:J32873,"=Şebeke İşletmecisi",'[7]TABLO-1'!K4:K32873,"=Bildirimsiz",'[7]TABLO-1'!I4:I32873,"=Uzun",'[7]TABLO-1'!D4:D32873,"=DEMİRKÖY")/P12</f>
        <v>#DIV/0!</v>
      </c>
      <c r="F6" s="10" t="str">
        <f>IFERROR((((D6*$P$6)+(E6*$P$12))/$P$17),"0,00")</f>
        <v>0,00</v>
      </c>
      <c r="G6" s="10">
        <f>SUMIFS('[7]TABLO-1'!W4:W32873,'[7]TABLO-1'!H4:H32873,"=İletim",'[7]TABLO-1'!J4:J32873,"=Şebeke İşletmecisi",'[7]TABLO-1'!K4:K32873,"=Bildirimsiz",'[7]TABLO-1'!I4:I32873,"=Uzun",'[7]TABLO-1'!D4:D32873,"=DEMİRKÖY")/P7</f>
        <v>0</v>
      </c>
      <c r="H6" s="10">
        <f>SUMIFS('[7]TABLO-1'!X4:X32873,'[7]TABLO-1'!H4:H32873,"=İletim",'[7]TABLO-1'!J4:J32873,"=Şebeke İşletmecisi",'[7]TABLO-1'!K4:K32873,"=Bildirimsiz",'[7]TABLO-1'!I4:I32873,"=Uzun",'[7]TABLO-1'!D4:D32873,"=DEMİRKÖY")/P13</f>
        <v>0</v>
      </c>
      <c r="I6" s="10">
        <f>IFERROR((((G6*$P$7)+(H6*$P$13))/$P$20),"0,00")</f>
        <v>0</v>
      </c>
      <c r="J6" s="10">
        <f>SUMIFS('[7]TABLO-1'!Y4:Y32873,'[7]TABLO-1'!H4:H32873,"=İletim",'[7]TABLO-1'!J4:J32873,"=Şebeke İşletmecisi",'[7]TABLO-1'!K4:K32873,"=Bildirimsiz",'[7]TABLO-1'!I4:I32873,"=Uzun",'[7]TABLO-1'!D4:D32873,"=DEMİRKÖY")/P8</f>
        <v>0</v>
      </c>
      <c r="K6" s="10">
        <f>SUMIFS('[7]TABLO-1'!Z4:Z32873,'[7]TABLO-1'!H4:H32873,"=İletim",'[7]TABLO-1'!J4:J32873,"=Şebeke İşletmecisi",'[7]TABLO-1'!K4:K32873,"=Bildirimsiz",'[7]TABLO-1'!I4:I32873,"=Uzun",'[7]TABLO-1'!D4:D32873,"=DEMİRKÖY")/P14</f>
        <v>0</v>
      </c>
      <c r="L6" s="10">
        <f>IFERROR((((J6*$P$8)+(K6*$P$14))/$P$23),"0,00")</f>
        <v>0</v>
      </c>
      <c r="M6" s="11">
        <f>IFERROR((((F6*$P$17)+(I6*$P$20)+(L6*$P$23))/$P$26),"0,00")</f>
        <v>0</v>
      </c>
      <c r="O6" s="20" t="s">
        <v>33</v>
      </c>
      <c r="P6" s="40">
        <v>0</v>
      </c>
      <c r="Q6" s="40"/>
    </row>
    <row r="7" spans="1:17" ht="15" customHeight="1" thickBot="1" x14ac:dyDescent="0.3">
      <c r="B7" s="30" t="s">
        <v>30</v>
      </c>
      <c r="C7" s="3" t="s">
        <v>15</v>
      </c>
      <c r="D7" s="10" t="e">
        <f>SUMIFS('[7]TABLO-1'!U4:U32873,'[7]TABLO-1'!H4:H32873,"=İletim",'[7]TABLO-1'!J4:J32873,"=Mücbir Sebep",'[7]TABLO-1'!K4:K32873,"=Bildirimsiz",'[7]TABLO-1'!I4:I32873,"=Uzun",'[7]TABLO-1'!D4:D32873,"=DEMİRKÖY")/P6</f>
        <v>#DIV/0!</v>
      </c>
      <c r="E7" s="10" t="e">
        <f>SUMIFS('[7]TABLO-1'!V4:V32873,'[7]TABLO-1'!H4:H32873,"=İletim",'[7]TABLO-1'!J4:J32873,"=Mücbir Sebep",'[7]TABLO-1'!K4:K32873,"=Bildirimsiz",'[7]TABLO-1'!I4:I32873,"=Uzun",'[7]TABLO-1'!D4:D32873,"=DEMİRKÖY")/P12</f>
        <v>#DIV/0!</v>
      </c>
      <c r="F7" s="10" t="str">
        <f t="shared" ref="F7:F15" si="0">IFERROR((((D7*$P$6)+(E7*$P$12))/$P$17),"0,00")</f>
        <v>0,00</v>
      </c>
      <c r="G7" s="10">
        <f>SUMIFS('[7]TABLO-1'!W4:W32873,'[7]TABLO-1'!H4:H32873,"=İletim",'[7]TABLO-1'!J4:J32873,"=Mücbir Sebep",'[7]TABLO-1'!K4:K32873,"=Bildirimsiz",'[7]TABLO-1'!I4:I32873,"=Uzun",'[7]TABLO-1'!D4:D32873,"=DEMİRKÖY")/P7</f>
        <v>0</v>
      </c>
      <c r="H7" s="10">
        <f>SUMIFS('[7]TABLO-1'!X4:X32873,'[7]TABLO-1'!H4:H32873,"=İletim",'[7]TABLO-1'!J4:J32873,"=Mücbir Sebep",'[7]TABLO-1'!K4:K32873,"=Bildirimsiz",'[7]TABLO-1'!I4:I32873,"=Uzun",'[7]TABLO-1'!D4:D32873,"=DEMİRKÖY")/P13</f>
        <v>0</v>
      </c>
      <c r="I7" s="10">
        <f t="shared" ref="I7:I15" si="1">IFERROR((((G7*$P$7)+(H7*$P$13))/$P$20),"0,00")</f>
        <v>0</v>
      </c>
      <c r="J7" s="10">
        <f>SUMIFS('[7]TABLO-1'!Y4:Y32873,'[7]TABLO-1'!H4:H32873,"=İletim",'[7]TABLO-1'!J4:J32873,"=Mücbir Sebep",'[7]TABLO-1'!K4:K32873,"=Bildirimsiz",'[7]TABLO-1'!I4:I32873,"=Uzun",'[7]TABLO-1'!D4:D32873,"=DEMİRKÖY")/P8</f>
        <v>0</v>
      </c>
      <c r="K7" s="10">
        <f>SUMIFS('[7]TABLO-1'!Z4:Z32873,'[7]TABLO-1'!H4:H32873,"=İletim",'[7]TABLO-1'!J4:J32873,"=Mücbir Sebep",'[7]TABLO-1'!K4:K32873,"=Bildirimsiz",'[7]TABLO-1'!I4:I32873,"=Uzun",'[7]TABLO-1'!D4:D32873,"=DEMİRKÖY")/P14</f>
        <v>0</v>
      </c>
      <c r="L7" s="10">
        <f t="shared" ref="L7:L15" si="2">IFERROR((((J7*$P$8)+(K7*$P$14))/$P$23),"0,00")</f>
        <v>0</v>
      </c>
      <c r="M7" s="11">
        <f t="shared" ref="M7:M15" si="3">IFERROR((((F7*$P$17)+(I7*$P$20)+(L7*$P$23))/$P$26),"0,00")</f>
        <v>0</v>
      </c>
      <c r="O7" s="20" t="s">
        <v>35</v>
      </c>
      <c r="P7" s="53">
        <v>39</v>
      </c>
      <c r="Q7" s="53"/>
    </row>
    <row r="8" spans="1:17" ht="15" customHeight="1" thickBot="1" x14ac:dyDescent="0.3">
      <c r="B8" s="30" t="s">
        <v>16</v>
      </c>
      <c r="C8" s="3" t="s">
        <v>4</v>
      </c>
      <c r="D8" s="10" t="e">
        <f>SUMIFS('[7]TABLO-1'!U4:U32873,'[7]TABLO-1'!H4:H32873,"=Dağıtım-OG",'[7]TABLO-1'!J4:J32873,"=Şebeke İşletmecisi",'[7]TABLO-1'!K4:K32873,"=Bildirimsiz",'[7]TABLO-1'!I4:I32873,"=Uzun",'[7]TABLO-1'!D4:D32873,"=DEMİRKÖY")/P6</f>
        <v>#DIV/0!</v>
      </c>
      <c r="E8" s="10" t="e">
        <f>SUMIFS('[7]TABLO-1'!V4:V32873,'[7]TABLO-1'!H4:H32873,"=Dağıtım-OG",'[7]TABLO-1'!J4:J32873,"=Şebeke İşletmecisi",'[7]TABLO-1'!K4:K32873,"=Bildirimsiz",'[7]TABLO-1'!I4:I32873,"=Uzun",'[7]TABLO-1'!D4:D32873,"=DEMİRKÖY")/P12</f>
        <v>#DIV/0!</v>
      </c>
      <c r="F8" s="10" t="str">
        <f t="shared" si="0"/>
        <v>0,00</v>
      </c>
      <c r="G8" s="10">
        <f>SUMIFS('[7]TABLO-1'!W4:W32873,'[7]TABLO-1'!H4:H32873,"=Dağıtım-OG",'[7]TABLO-1'!J4:J32873,"=Şebeke İşletmecisi",'[7]TABLO-1'!K4:K32873,"=Bildirimsiz",'[7]TABLO-1'!I4:I32873,"=Uzun",'[7]TABLO-1'!D4:D32873,"=DEMİRKÖY")/P7</f>
        <v>121.82905982705191</v>
      </c>
      <c r="H8" s="10">
        <f>SUMIFS('[7]TABLO-1'!X4:X32873,'[7]TABLO-1'!H4:H32873,"=Dağıtım-OG",'[7]TABLO-1'!J4:J32873,"=Şebeke İşletmecisi",'[7]TABLO-1'!K4:K32873,"=Bildirimsiz",'[7]TABLO-1'!I4:I32873,"=Uzun",'[7]TABLO-1'!D4:D32873,"=DEMİRKÖY")/P13</f>
        <v>103.81263942548566</v>
      </c>
      <c r="I8" s="10">
        <f t="shared" si="1"/>
        <v>103.93002004621086</v>
      </c>
      <c r="J8" s="10">
        <f>SUMIFS('[7]TABLO-1'!Y4:Y32873,'[7]TABLO-1'!H4:H32873,"=Dağıtım-OG",'[7]TABLO-1'!J4:J32873,"=Şebeke İşletmecisi",'[7]TABLO-1'!K4:K32873,"=Bildirimsiz",'[7]TABLO-1'!I4:I32873,"=Uzun",'[7]TABLO-1'!D4:D32873,"=DEMİRKÖY")/P8</f>
        <v>187.31878306633527</v>
      </c>
      <c r="K8" s="10">
        <f>SUMIFS('[7]TABLO-1'!Z4:Z32873,'[7]TABLO-1'!H4:H32873,"=Dağıtım-OG",'[7]TABLO-1'!J4:J32873,"=Şebeke İşletmecisi",'[7]TABLO-1'!K4:K32873,"=Bildirimsiz",'[7]TABLO-1'!I4:I32873,"=Uzun",'[7]TABLO-1'!D4:D32873,"=DEMİRKÖY")/P14</f>
        <v>171.58679894163339</v>
      </c>
      <c r="L8" s="10">
        <f t="shared" si="2"/>
        <v>171.89526921858834</v>
      </c>
      <c r="M8" s="11">
        <f t="shared" si="3"/>
        <v>127.6687248609569</v>
      </c>
      <c r="O8" s="20" t="s">
        <v>36</v>
      </c>
      <c r="P8" s="53">
        <v>63</v>
      </c>
      <c r="Q8" s="53"/>
    </row>
    <row r="9" spans="1:17" ht="15" customHeight="1" thickBot="1" x14ac:dyDescent="0.3">
      <c r="B9" s="30" t="s">
        <v>16</v>
      </c>
      <c r="C9" s="3" t="s">
        <v>3</v>
      </c>
      <c r="D9" s="10" t="e">
        <f>SUMIFS('[7]TABLO-1'!U4:U32873,'[7]TABLO-1'!H4:H32873,"=Dağıtım-OG",'[7]TABLO-1'!J4:J32873,"=Dışsal",'[7]TABLO-1'!K4:K32873,"=Bildirimsiz",'[7]TABLO-1'!I4:I32873,"=Uzun",'[7]TABLO-1'!D4:D32873,"=DEMİRKÖY")/P6</f>
        <v>#DIV/0!</v>
      </c>
      <c r="E9" s="10" t="e">
        <f>SUMIFS('[7]TABLO-1'!V4:V32873,'[7]TABLO-1'!H4:H32873,"=Dağıtım-OG",'[7]TABLO-1'!J4:J32873,"=Dışsal",'[7]TABLO-1'!K4:K32873,"=Bildirimsiz",'[7]TABLO-1'!I4:I32873,"=Uzun",'[7]TABLO-1'!D4:D32873,"=DEMİRKÖY")/P12</f>
        <v>#DIV/0!</v>
      </c>
      <c r="F9" s="10" t="str">
        <f t="shared" si="0"/>
        <v>0,00</v>
      </c>
      <c r="G9" s="10">
        <f>SUMIFS('[7]TABLO-1'!W4:W32873,'[7]TABLO-1'!H4:H32873,"=Dağıtım-OG",'[7]TABLO-1'!J4:J32873,"=Dışsal",'[7]TABLO-1'!K4:K32873,"=Bildirimsiz",'[7]TABLO-1'!I4:I32873,"=Uzun",'[7]TABLO-1'!D4:D32873,"=DEMİRKÖY")/P7</f>
        <v>0</v>
      </c>
      <c r="H9" s="10">
        <f>SUMIFS('[7]TABLO-1'!X4:X32873,'[7]TABLO-1'!H4:H32873,"=Dağıtım-OG",'[7]TABLO-1'!J4:J32873,"=Dışsal",'[7]TABLO-1'!K4:K32873,"=Bildirimsiz",'[7]TABLO-1'!I4:I32873,"=Uzun",'[7]TABLO-1'!D4:D32873,"=DEMİRKÖY")/P13</f>
        <v>0</v>
      </c>
      <c r="I9" s="10">
        <f t="shared" si="1"/>
        <v>0</v>
      </c>
      <c r="J9" s="10">
        <f>SUMIFS('[7]TABLO-1'!Y4:Y32873,'[7]TABLO-1'!H4:H32873,"=Dağıtım-OG",'[7]TABLO-1'!J4:J32873,"=Dışsal",'[7]TABLO-1'!K4:K32873,"=Bildirimsiz",'[7]TABLO-1'!I4:I32873,"=Uzun",'[7]TABLO-1'!D4:D32873,"=DEMİRKÖY")/P8</f>
        <v>0</v>
      </c>
      <c r="K9" s="10">
        <f>SUMIFS('[7]TABLO-1'!Z4:Z32873,'[7]TABLO-1'!H4:H32873,"=Dağıtım-OG",'[7]TABLO-1'!J4:J32873,"=Dışsal",'[7]TABLO-1'!K4:K32873,"=Bildirimsiz",'[7]TABLO-1'!I4:I32873,"=Uzun",'[7]TABLO-1'!D4:D32873,"=DEMİRKÖY")/P14</f>
        <v>0</v>
      </c>
      <c r="L9" s="10">
        <f t="shared" si="2"/>
        <v>0</v>
      </c>
      <c r="M9" s="11">
        <f t="shared" si="3"/>
        <v>0</v>
      </c>
      <c r="O9" s="20" t="s">
        <v>17</v>
      </c>
      <c r="P9" s="53">
        <f>P6+P7+P8</f>
        <v>102</v>
      </c>
      <c r="Q9" s="53"/>
    </row>
    <row r="10" spans="1:17" ht="15" customHeight="1" thickBot="1" x14ac:dyDescent="0.3">
      <c r="B10" s="30" t="s">
        <v>16</v>
      </c>
      <c r="C10" s="3" t="s">
        <v>15</v>
      </c>
      <c r="D10" s="10" t="e">
        <f>SUMIFS('[7]TABLO-1'!U4:U32873,'[7]TABLO-1'!H4:H32873,"=Dağıtım-OG",'[7]TABLO-1'!J4:J32873,"=Mücbir Sebep",'[7]TABLO-1'!K4:K32873,"=Bildirimsiz",'[7]TABLO-1'!I4:I32873,"=Uzun",'[7]TABLO-1'!D4:D32873,"=DEMİRKÖY")/P6</f>
        <v>#DIV/0!</v>
      </c>
      <c r="E10" s="10" t="e">
        <f>SUMIFS('[7]TABLO-1'!V4:V32873,'[7]TABLO-1'!H4:H32873,"=Dağıtım-OG",'[7]TABLO-1'!J4:J32873,"=Mücbir Sebep",'[7]TABLO-1'!K4:K32873,"=Bildirimsiz",'[7]TABLO-1'!I4:I32873,"=Uzun",'[7]TABLO-1'!D4:D32873,"=DEMİRKÖY")/P12</f>
        <v>#DIV/0!</v>
      </c>
      <c r="F10" s="10" t="str">
        <f t="shared" si="0"/>
        <v>0,00</v>
      </c>
      <c r="G10" s="10">
        <f>SUMIFS('[7]TABLO-1'!W4:W32873,'[7]TABLO-1'!H4:H32873,"=Dağıtım-OG",'[7]TABLO-1'!J4:J32873,"=Mücbir Sebep",'[7]TABLO-1'!K4:K32873,"=Bildirimsiz",'[7]TABLO-1'!I4:I32873,"=Uzun",'[7]TABLO-1'!D4:D32873,"=DEMİRKÖY")/P7</f>
        <v>0</v>
      </c>
      <c r="H10" s="10">
        <f>SUMIFS('[7]TABLO-1'!X4:X32873,'[7]TABLO-1'!H4:H32873,"=Dağıtım-OG",'[7]TABLO-1'!J4:J32873,"=Mücbir Sebep",'[7]TABLO-1'!K4:K32873,"=Bildirimsiz",'[7]TABLO-1'!I4:I32873,"=Uzun",'[7]TABLO-1'!D4:D32873,"=DEMİRKÖY")/P13</f>
        <v>0</v>
      </c>
      <c r="I10" s="10">
        <f t="shared" si="1"/>
        <v>0</v>
      </c>
      <c r="J10" s="10">
        <f>SUMIFS('[7]TABLO-1'!Y4:Y32873,'[7]TABLO-1'!H4:H32873,"=Dağıtım-OG",'[7]TABLO-1'!J4:J32873,"=Mücbir Sebep",'[7]TABLO-1'!K4:K32873,"=Bildirimsiz",'[7]TABLO-1'!I4:I32873,"=Uzun",'[7]TABLO-1'!D4:D32873,"=DEMİRKÖY")/P8</f>
        <v>0</v>
      </c>
      <c r="K10" s="10">
        <f>SUMIFS('[7]TABLO-1'!Z4:Z32873,'[7]TABLO-1'!H4:H32873,"=Dağıtım-OG",'[7]TABLO-1'!J4:J32873,"=Mücbir Sebep",'[7]TABLO-1'!K4:K32873,"=Bildirimsiz",'[7]TABLO-1'!I4:I32873,"=Uzun",'[7]TABLO-1'!D4:D32873,"=DEMİRKÖY")/P14</f>
        <v>0</v>
      </c>
      <c r="L10" s="10">
        <f t="shared" si="2"/>
        <v>0</v>
      </c>
      <c r="M10" s="11">
        <f t="shared" si="3"/>
        <v>0</v>
      </c>
    </row>
    <row r="11" spans="1:17" ht="15" customHeight="1" thickBot="1" x14ac:dyDescent="0.3">
      <c r="B11" s="30" t="s">
        <v>16</v>
      </c>
      <c r="C11" s="3" t="s">
        <v>2</v>
      </c>
      <c r="D11" s="10" t="e">
        <f>SUMIFS('[7]TABLO-1'!U4:U32873,'[7]TABLO-1'!H4:H32873,"=Dağıtım-OG",'[7]TABLO-1'!J4:J32873,"=Güvenlik",'[7]TABLO-1'!K4:K32873,"=Bildirimsiz",'[7]TABLO-1'!I4:I32873,"=Uzun",'[7]TABLO-1'!D4:D32873,"=DEMİRKÖY")/P6</f>
        <v>#DIV/0!</v>
      </c>
      <c r="E11" s="10" t="e">
        <f>SUMIFS('[7]TABLO-1'!V4:V32873,'[7]TABLO-1'!H4:H32873,"=Dağıtım-OG",'[7]TABLO-1'!J4:J32873,"=Güvenlik",'[7]TABLO-1'!K4:K32873,"=Bildirimsiz",'[7]TABLO-1'!I4:I32873,"=Uzun",'[7]TABLO-1'!D4:D32873,"=DEMİRKÖY")/P12</f>
        <v>#DIV/0!</v>
      </c>
      <c r="F11" s="10" t="str">
        <f t="shared" si="0"/>
        <v>0,00</v>
      </c>
      <c r="G11" s="10">
        <f>SUMIFS('[7]TABLO-1'!W4:W32873,'[7]TABLO-1'!H4:H32873,"=Dağıtım-OG",'[7]TABLO-1'!J4:J32873,"=Güvenlik",'[7]TABLO-1'!K4:K32873,"=Bildirimsiz",'[7]TABLO-1'!I4:I32873,"=Uzun",'[7]TABLO-1'!D4:D32873,"=DEMİRKÖY")/P7</f>
        <v>0</v>
      </c>
      <c r="H11" s="10">
        <f>SUMIFS('[7]TABLO-1'!X4:X32873,'[7]TABLO-1'!H4:H32873,"=Dağıtım-OG",'[7]TABLO-1'!J4:J32873,"=Güvenlik",'[7]TABLO-1'!K4:K32873,"=Bildirimsiz",'[7]TABLO-1'!I4:I32873,"=Uzun",'[7]TABLO-1'!D4:D32873,"=DEMİRKÖY")/P13</f>
        <v>0</v>
      </c>
      <c r="I11" s="10">
        <f t="shared" si="1"/>
        <v>0</v>
      </c>
      <c r="J11" s="10">
        <f>SUMIFS('[7]TABLO-1'!Y4:Y32873,'[7]TABLO-1'!H4:H32873,"=Dağıtım-OG",'[7]TABLO-1'!J4:J32873,"=Güvenlik",'[7]TABLO-1'!K4:K32873,"=Bildirimsiz",'[7]TABLO-1'!I4:I32873,"=Uzun",'[7]TABLO-1'!D4:D32873,"=DEMİRKÖY")/P8</f>
        <v>0</v>
      </c>
      <c r="K11" s="10">
        <f>SUMIFS('[7]TABLO-1'!Z4:Z32873,'[7]TABLO-1'!H4:H32873,"=Dağıtım-OG",'[7]TABLO-1'!J4:J32873,"=Güvenlik",'[7]TABLO-1'!K4:K32873,"=Bildirimsiz",'[7]TABLO-1'!I4:I32873,"=Uzun",'[7]TABLO-1'!D4:D32873,"=DEMİRKÖY")/P14</f>
        <v>0</v>
      </c>
      <c r="L11" s="10">
        <f t="shared" si="2"/>
        <v>0</v>
      </c>
      <c r="M11" s="11">
        <f t="shared" si="3"/>
        <v>0</v>
      </c>
      <c r="O11" s="21" t="s">
        <v>18</v>
      </c>
      <c r="P11" s="41" t="s">
        <v>8</v>
      </c>
      <c r="Q11" s="41"/>
    </row>
    <row r="12" spans="1:17" ht="15" customHeight="1" thickBot="1" x14ac:dyDescent="0.3">
      <c r="B12" s="30" t="s">
        <v>19</v>
      </c>
      <c r="C12" s="3" t="s">
        <v>4</v>
      </c>
      <c r="D12" s="12" t="e">
        <f>SUMIFS('[7]TABLO-1'!U4:U32873,'[7]TABLO-1'!H4:H32873,"=Dağıtım-AG",'[7]TABLO-1'!J4:J32873,"=Şebeke İşletmecisi",'[7]TABLO-1'!K4:K32873,"=Bildirimsiz",'[7]TABLO-1'!I4:I32873,"=Uzun",'[7]TABLO-1'!D4:D32873,"=DEMİRKÖY")/P6</f>
        <v>#DIV/0!</v>
      </c>
      <c r="E12" s="10" t="e">
        <f>SUMIFS('[7]TABLO-1'!V4:V32873,'[7]TABLO-1'!H4:H32873,"=Dağıtım-AG",'[7]TABLO-1'!J4:J32873,"=Şebeke işletmecisi",'[7]TABLO-1'!K4:K32873,"=Bildirimsiz",'[7]TABLO-1'!I4:I32873,"=Uzun",'[7]TABLO-1'!D4:D32873,"=DEMİRKÖY")/P12</f>
        <v>#DIV/0!</v>
      </c>
      <c r="F12" s="10" t="str">
        <f t="shared" si="0"/>
        <v>0,00</v>
      </c>
      <c r="G12" s="12">
        <f>SUMIFS('[7]TABLO-1'!W4:W32873,'[7]TABLO-1'!H4:H32873,"=Dağıtım-AG",'[7]TABLO-1'!J4:J32873,"=Şebeke İşletmecisi",'[7]TABLO-1'!K4:K32873,"=Bildirimsiz",'[7]TABLO-1'!I4:I32873,"=Uzun",'[7]TABLO-1'!D4:D32873,"=DEMİRKÖY")/P7</f>
        <v>0</v>
      </c>
      <c r="H12" s="10">
        <f>SUMIFS('[7]TABLO-1'!X4:X32873,'[7]TABLO-1'!H4:H32873,"=Dağıtım-AG",'[7]TABLO-1'!J4:J32873,"=Şebeke İşletmecisi",'[7]TABLO-1'!K4:K32873,"=Bildirimsiz",'[7]TABLO-1'!I4:I32873,"=Uzun",'[7]TABLO-1'!D4:D32873,"=DEMİRKÖY")/P13</f>
        <v>34.929020234975958</v>
      </c>
      <c r="I12" s="10">
        <f t="shared" si="1"/>
        <v>34.701450607651523</v>
      </c>
      <c r="J12" s="12">
        <f>SUMIFS('[7]TABLO-1'!Y4:Y32873,'[7]TABLO-1'!H4:H32873,"=Dağıtım-AG",'[7]TABLO-1'!J4:J32873,"=Şebeke İşletmecisi",'[7]TABLO-1'!K4:K32873,"=Bildirimsiz",'[7]TABLO-1'!I4:I32873,"=Uzun",'[7]TABLO-1'!D4:D32873,"=DEMİRKÖY")/P8</f>
        <v>0</v>
      </c>
      <c r="K12" s="10">
        <f>SUMIFS('[7]TABLO-1'!Z4:Z32873,'[7]TABLO-1'!H4:H32873,"=Dağıtım-AG",'[7]TABLO-1'!J4:J32873,"=Şebeke İşletmecisi",'[7]TABLO-1'!K4:K32873,"=Bildirimsiz",'[7]TABLO-1'!I4:I32873,"=Uzun",'[7]TABLO-1'!D4:D32873,"=DEMİRKÖY")/P14</f>
        <v>5.7600423277189421</v>
      </c>
      <c r="L12" s="10">
        <f t="shared" si="2"/>
        <v>5.647100321293081</v>
      </c>
      <c r="M12" s="11">
        <f t="shared" si="3"/>
        <v>24.553431532744504</v>
      </c>
      <c r="O12" s="6" t="s">
        <v>33</v>
      </c>
      <c r="P12" s="42">
        <v>0</v>
      </c>
      <c r="Q12" s="42"/>
    </row>
    <row r="13" spans="1:17" ht="15" customHeight="1" thickBot="1" x14ac:dyDescent="0.3">
      <c r="B13" s="30" t="s">
        <v>19</v>
      </c>
      <c r="C13" s="3" t="s">
        <v>3</v>
      </c>
      <c r="D13" s="12" t="e">
        <f>SUMIFS('[7]TABLO-1'!U4:U32873,'[7]TABLO-1'!H4:H32873,"=Dağıtım-AG",'[7]TABLO-1'!J4:J32873,"=Dışsal",'[7]TABLO-1'!K4:K32873,"=Bildirimsiz",'[7]TABLO-1'!I4:I32873,"=Uzun",'[7]TABLO-1'!D4:D32873,"=DEMİRKÖY")/P6</f>
        <v>#DIV/0!</v>
      </c>
      <c r="E13" s="10" t="e">
        <f>SUMIFS('[7]TABLO-1'!V4:V32873,'[7]TABLO-1'!H4:H32873,"=Dağıtım-AG",'[7]TABLO-1'!J4:J32873,"=Dışsal",'[7]TABLO-1'!K4:K32873,"=Bildirimsiz",'[7]TABLO-1'!I4:I32873,"=Uzun",'[7]TABLO-1'!D4:D32873,"=DEMİRKÖY")/P12</f>
        <v>#DIV/0!</v>
      </c>
      <c r="F13" s="10" t="str">
        <f t="shared" si="0"/>
        <v>0,00</v>
      </c>
      <c r="G13" s="12">
        <f>SUMIFS('[7]TABLO-1'!W4:W32873,'[7]TABLO-1'!H4:H32873,"=Dağıtım-AG",'[7]TABLO-1'!J4:J32873,"=Dışsal",'[7]TABLO-1'!K4:K32873,"=Bildirimsiz",'[7]TABLO-1'!I4:I32873,"=Uzun",'[7]TABLO-1'!D4:D32873,"=DEMİRKÖY")/P7</f>
        <v>0</v>
      </c>
      <c r="H13" s="10">
        <f>SUMIFS('[7]TABLO-1'!X4:X32873,'[7]TABLO-1'!H4:H32873,"=Dağıtım-AG",'[7]TABLO-1'!J4:J32873,"=Dışsal",'[7]TABLO-1'!K4:K32873,"=Bildirimsiz",'[7]TABLO-1'!I4:I32873,"=Uzun",'[7]TABLO-1'!D4:D32873,"=DEMİRKÖY")/P13</f>
        <v>0</v>
      </c>
      <c r="I13" s="10">
        <f t="shared" si="1"/>
        <v>0</v>
      </c>
      <c r="J13" s="12">
        <f>SUMIFS('[7]TABLO-1'!Y4:Y32873,'[7]TABLO-1'!H4:H32873,"=Dağıtım-AG",'[7]TABLO-1'!J4:J32873,"=Dışsal",'[7]TABLO-1'!K4:K32873,"=Bildirimsiz",'[7]TABLO-1'!I4:I32873,"=Uzun",'[7]TABLO-1'!D4:D32873,"=DEMİRKÖY")/P8</f>
        <v>0</v>
      </c>
      <c r="K13" s="10">
        <f>SUMIFS('[7]TABLO-1'!Z4:Z32873,'[7]TABLO-1'!H4:H32873,"=Dağıtım-AG",'[7]TABLO-1'!J4:J32873,"=Dışsal",'[7]TABLO-1'!K4:K32873,"=Bildirimsiz",'[7]TABLO-1'!I4:I32873,"=Uzun",'[7]TABLO-1'!D4:D32873,"=DEMİRKÖY")/P14</f>
        <v>0</v>
      </c>
      <c r="L13" s="10">
        <f t="shared" si="2"/>
        <v>0</v>
      </c>
      <c r="M13" s="11">
        <f t="shared" si="3"/>
        <v>0</v>
      </c>
      <c r="O13" s="6" t="s">
        <v>35</v>
      </c>
      <c r="P13" s="42">
        <v>5947</v>
      </c>
      <c r="Q13" s="42"/>
    </row>
    <row r="14" spans="1:17" ht="15" customHeight="1" thickBot="1" x14ac:dyDescent="0.3">
      <c r="B14" s="30" t="s">
        <v>19</v>
      </c>
      <c r="C14" s="3" t="s">
        <v>15</v>
      </c>
      <c r="D14" s="12" t="e">
        <f>SUMIFS('[7]TABLO-1'!U4:U32873,'[7]TABLO-1'!H4:H32873,"=Dağıtım-AG",'[7]TABLO-1'!J4:J32873,"=Mücbir Sebep",'[7]TABLO-1'!K4:K32873,"=Bildirimsiz",'[7]TABLO-1'!I4:I32873,"=Uzun",'[7]TABLO-1'!D4:D32873,"=DEMİRKÖY")/P6</f>
        <v>#DIV/0!</v>
      </c>
      <c r="E14" s="10" t="e">
        <f>SUMIFS('[7]TABLO-1'!V4:V32873,'[7]TABLO-1'!H4:H32873,"=Dağıtım-AG",'[7]TABLO-1'!J4:J32873,"=Mücbir Sebep",'[7]TABLO-1'!K4:K32873,"=Bildirimsiz",'[7]TABLO-1'!I4:I32873,"=Uzun",'[7]TABLO-1'!D4:D32873,"=DEMİRKÖY")/P12</f>
        <v>#DIV/0!</v>
      </c>
      <c r="F14" s="10" t="str">
        <f t="shared" si="0"/>
        <v>0,00</v>
      </c>
      <c r="G14" s="12">
        <f>SUMIFS('[7]TABLO-1'!W4:W32873,'[7]TABLO-1'!H4:H32873,"=Dağıtım-AG",'[7]TABLO-1'!J4:J32873,"=Mücbir Sebep",'[7]TABLO-1'!K4:K32873,"=Bildirimsiz",'[7]TABLO-1'!I4:I32873,"=Uzun",'[7]TABLO-1'!D4:D32873,"=DEMİRKÖY")/P7</f>
        <v>0</v>
      </c>
      <c r="H14" s="10">
        <f>SUMIFS('[7]TABLO-1'!X4:X32873,'[7]TABLO-1'!H4:H32873,"=Dağıtım-AG",'[7]TABLO-1'!J4:J32873,"=Mücbir Sebep",'[7]TABLO-1'!K4:K32873,"=Bildirimsiz",'[7]TABLO-1'!I4:I32873,"=Uzun",'[7]TABLO-1'!D4:D32873,"=DEMİRKÖY")/P13</f>
        <v>0</v>
      </c>
      <c r="I14" s="10">
        <f t="shared" si="1"/>
        <v>0</v>
      </c>
      <c r="J14" s="12">
        <f>SUMIFS('[7]TABLO-1'!Y4:Y32873,'[7]TABLO-1'!H4:H32873,"=Dağıtım-AG",'[7]TABLO-1'!J4:J32873,"=Mücbir Sebep",'[7]TABLO-1'!K4:K32873,"=Bildirimsiz",'[7]TABLO-1'!I4:I32873,"=Uzun",'[7]TABLO-1'!D4:D32873,"=DEMİRKÖY")/P8</f>
        <v>0</v>
      </c>
      <c r="K14" s="10">
        <f>SUMIFS('[7]TABLO-1'!Z4:Z32873,'[7]TABLO-1'!H4:H32873,"=Dağıtım-AG",'[7]TABLO-1'!J4:J32873,"=Mücbir Sebep",'[7]TABLO-1'!K4:K32873,"=Bildirimsiz",'[7]TABLO-1'!I4:I32873,"=Uzun",'[7]TABLO-1'!D4:D32873,"=DEMİRKÖY")/P14</f>
        <v>0</v>
      </c>
      <c r="L14" s="10">
        <f t="shared" si="2"/>
        <v>0</v>
      </c>
      <c r="M14" s="11">
        <f t="shared" si="3"/>
        <v>0</v>
      </c>
      <c r="O14" s="6" t="s">
        <v>36</v>
      </c>
      <c r="P14" s="42">
        <v>3150</v>
      </c>
      <c r="Q14" s="42"/>
    </row>
    <row r="15" spans="1:17" ht="15" customHeight="1" thickBot="1" x14ac:dyDescent="0.3">
      <c r="B15" s="30" t="s">
        <v>19</v>
      </c>
      <c r="C15" s="3" t="s">
        <v>2</v>
      </c>
      <c r="D15" s="12" t="e">
        <f>SUMIFS('[7]TABLO-1'!U4:U32873,'[7]TABLO-1'!H4:H32873,"=Dağıtım-AG",'[7]TABLO-1'!J4:J32873,"=Güvenlik",'[7]TABLO-1'!K4:K32873,"=Bildirimsiz",'[7]TABLO-1'!I4:I32873,"=Uzun",'[7]TABLO-1'!D4:D32873,"=DEMİRKÖY")/P6</f>
        <v>#DIV/0!</v>
      </c>
      <c r="E15" s="10" t="e">
        <f>SUMIFS('[7]TABLO-1'!V4:V32873,'[7]TABLO-1'!H4:H32873,"=Dağıtım-AG",'[7]TABLO-1'!J4:J32873,"=Güvenlik",'[7]TABLO-1'!K4:K32873,"=Bildirimsiz",'[7]TABLO-1'!I4:I32873,"=Uzun",'[7]TABLO-1'!D4:D32873,"=DEMİRKÖY")/P12</f>
        <v>#DIV/0!</v>
      </c>
      <c r="F15" s="10" t="str">
        <f t="shared" si="0"/>
        <v>0,00</v>
      </c>
      <c r="G15" s="12">
        <f>SUMIFS('[7]TABLO-1'!W4:W32873,'[7]TABLO-1'!H4:H32873,"=Dağıtım-AG",'[7]TABLO-1'!J4:J32873,"=Güvenlik",'[7]TABLO-1'!K4:K32873,"=Bildirimsiz",'[7]TABLO-1'!I4:I32873,"=Uzun",'[7]TABLO-1'!D4:D32873,"=DEMİRKÖY")/P7</f>
        <v>0</v>
      </c>
      <c r="H15" s="10">
        <f>SUMIFS('[7]TABLO-1'!X4:X32873,'[7]TABLO-1'!H4:H32873,"=Dağıtım-AG",'[7]TABLO-1'!J4:J32873,"=Güvenlik",'[7]TABLO-1'!K4:K32873,"=Bildirimsiz",'[7]TABLO-1'!I4:I32873,"=Uzun",'[7]TABLO-1'!D4:D32873,"=DEMİRKÖY")/P13</f>
        <v>0</v>
      </c>
      <c r="I15" s="10">
        <f t="shared" si="1"/>
        <v>0</v>
      </c>
      <c r="J15" s="12">
        <f>SUMIFS('[7]TABLO-1'!Y4:Y32873,'[7]TABLO-1'!H4:H32873,"=Dağıtım-AG",'[7]TABLO-1'!J4:J32873,"=Güvenlik",'[7]TABLO-1'!K4:K32873,"=Bildirimsiz",'[7]TABLO-1'!I4:I32873,"=Uzun",'[7]TABLO-1'!D4:D32873,"=DEMİRKÖY")/P8</f>
        <v>0</v>
      </c>
      <c r="K15" s="10">
        <f>SUMIFS('[7]TABLO-1'!Z4:Z32873,'[7]TABLO-1'!H4:H32873,"=Dağıtım-AG",'[7]TABLO-1'!J4:J32873,"=Güvenlik",'[7]TABLO-1'!K4:K32873,"=Bildirimsiz",'[7]TABLO-1'!I4:I32873,"=Uzun",'[7]TABLO-1'!D4:D32873,"=DEMİRKÖY")/P14</f>
        <v>0</v>
      </c>
      <c r="L15" s="10">
        <f t="shared" si="2"/>
        <v>0</v>
      </c>
      <c r="M15" s="11">
        <f t="shared" si="3"/>
        <v>0</v>
      </c>
      <c r="O15" s="6" t="s">
        <v>17</v>
      </c>
      <c r="P15" s="42">
        <f>SUM(P12:P14)</f>
        <v>9097</v>
      </c>
      <c r="Q15" s="42"/>
    </row>
    <row r="16" spans="1:17" ht="15" customHeight="1" thickBot="1" x14ac:dyDescent="0.3">
      <c r="B16" s="60" t="s">
        <v>20</v>
      </c>
      <c r="C16" s="61"/>
      <c r="D16" s="10" t="e">
        <f t="shared" ref="D16:M16" si="4">SUM(D6:D15)</f>
        <v>#DIV/0!</v>
      </c>
      <c r="E16" s="10" t="e">
        <f t="shared" si="4"/>
        <v>#DIV/0!</v>
      </c>
      <c r="F16" s="10">
        <f t="shared" si="4"/>
        <v>0</v>
      </c>
      <c r="G16" s="10">
        <f t="shared" si="4"/>
        <v>121.82905982705191</v>
      </c>
      <c r="H16" s="10">
        <f t="shared" si="4"/>
        <v>138.74165966046161</v>
      </c>
      <c r="I16" s="10">
        <f t="shared" si="4"/>
        <v>138.63147065386238</v>
      </c>
      <c r="J16" s="10">
        <f>SUM(J6:J15)</f>
        <v>187.31878306633527</v>
      </c>
      <c r="K16" s="10">
        <f>SUM(K6:K15)</f>
        <v>177.34684126935232</v>
      </c>
      <c r="L16" s="10">
        <f>SUM(L6:L15)</f>
        <v>177.54236953988141</v>
      </c>
      <c r="M16" s="11">
        <f t="shared" si="4"/>
        <v>152.2221563937014</v>
      </c>
    </row>
    <row r="17" spans="2:16" ht="15" customHeight="1" x14ac:dyDescent="0.25">
      <c r="B17" s="29"/>
      <c r="O17" s="50" t="s">
        <v>37</v>
      </c>
      <c r="P17" s="47">
        <f>P6+P12</f>
        <v>0</v>
      </c>
    </row>
    <row r="18" spans="2:16" ht="15" customHeight="1" thickBot="1" x14ac:dyDescent="0.3">
      <c r="B18" s="29" t="s">
        <v>21</v>
      </c>
      <c r="O18" s="51"/>
      <c r="P18" s="48"/>
    </row>
    <row r="19" spans="2:16" ht="15" customHeight="1" thickBot="1" x14ac:dyDescent="0.3">
      <c r="B19" s="55"/>
      <c r="C19" s="56"/>
      <c r="D19" s="57" t="s">
        <v>40</v>
      </c>
      <c r="E19" s="58"/>
      <c r="F19" s="59"/>
      <c r="G19" s="37" t="s">
        <v>41</v>
      </c>
      <c r="H19" s="38"/>
      <c r="I19" s="39"/>
      <c r="J19" s="37" t="s">
        <v>42</v>
      </c>
      <c r="K19" s="38"/>
      <c r="L19" s="39"/>
      <c r="M19" s="7"/>
      <c r="O19" s="52"/>
      <c r="P19" s="49"/>
    </row>
    <row r="20" spans="2:16" ht="15" customHeight="1" thickBot="1" x14ac:dyDescent="0.3">
      <c r="B20" s="30" t="s">
        <v>9</v>
      </c>
      <c r="C20" s="3" t="s">
        <v>10</v>
      </c>
      <c r="D20" s="4" t="s">
        <v>11</v>
      </c>
      <c r="E20" s="4" t="s">
        <v>12</v>
      </c>
      <c r="F20" s="4" t="s">
        <v>13</v>
      </c>
      <c r="G20" s="4" t="s">
        <v>0</v>
      </c>
      <c r="H20" s="4" t="s">
        <v>1</v>
      </c>
      <c r="I20" s="4" t="s">
        <v>13</v>
      </c>
      <c r="J20" s="4" t="s">
        <v>0</v>
      </c>
      <c r="K20" s="4" t="s">
        <v>1</v>
      </c>
      <c r="L20" s="4" t="s">
        <v>13</v>
      </c>
      <c r="M20" s="8" t="s">
        <v>14</v>
      </c>
      <c r="O20" s="50" t="s">
        <v>38</v>
      </c>
      <c r="P20" s="47">
        <f>P7+P13</f>
        <v>5986</v>
      </c>
    </row>
    <row r="21" spans="2:16" ht="15" customHeight="1" thickBot="1" x14ac:dyDescent="0.3">
      <c r="B21" s="30" t="s">
        <v>30</v>
      </c>
      <c r="C21" s="3" t="s">
        <v>4</v>
      </c>
      <c r="D21" s="10" t="e">
        <f>SUMIFS('[7]TABLO-1'!U4:U32873,'[7]TABLO-1'!H4:H32873,"=İletim",'[7]TABLO-1'!J4:J32873,"=Şebeke İşletmecisi",'[7]TABLO-1'!K4:K32873,"=Bildirimli",'[7]TABLO-1'!I4:I32873,"=Uzun",'[7]TABLO-1'!D4:D32873,"=DEMİRKÖY")/P6</f>
        <v>#DIV/0!</v>
      </c>
      <c r="E21" s="10" t="e">
        <f>SUMIFS('[7]TABLO-1'!V4:V32873,'[7]TABLO-1'!H4:H32873,"=İletim",'[7]TABLO-1'!J4:J32873,"=Şebeke İşletmecisi",'[7]TABLO-1'!K4:K32873,"=Bildirimli",'[7]TABLO-1'!I4:I32873,"=Uzun",'[7]TABLO-1'!D4:D32873,"=DEMİRKÖY")/P12</f>
        <v>#DIV/0!</v>
      </c>
      <c r="F21" s="10" t="str">
        <f>IFERROR((((D21*$P$6)+(E21*$P$12))/$P$17),"0,00")</f>
        <v>0,00</v>
      </c>
      <c r="G21" s="10">
        <f>SUMIFS('[7]TABLO-1'!W4:W32873,'[7]TABLO-1'!H4:H32873,"=İletim",'[7]TABLO-1'!J4:J32873,"=Şebeke İşletmecisi",'[7]TABLO-1'!K4:K32873,"=Bildirimli",'[7]TABLO-1'!I4:I32873,"=Uzun",'[7]TABLO-1'!D4:D32873,"=DEMİRKÖY")/P7</f>
        <v>0</v>
      </c>
      <c r="H21" s="10">
        <f>SUMIFS('[7]TABLO-1'!X4:X32873,'[7]TABLO-1'!H4:H32873,"=İletim",'[7]TABLO-1'!J4:J32873,"=Şebeke İşletmecisi",'[7]TABLO-1'!K4:K32873,"=Bildirimli",'[7]TABLO-1'!I4:I32873,"=Uzun",'[7]TABLO-1'!D4:D32873,"=DEMİRKÖY")/P13</f>
        <v>0</v>
      </c>
      <c r="I21" s="10">
        <f>IFERROR((((G21*$P$7)+(H21*$P$13))/$P$20),"0,00")</f>
        <v>0</v>
      </c>
      <c r="J21" s="10">
        <f>SUMIFS('[7]TABLO-1'!Y4:Y32873,'[7]TABLO-1'!H4:H32873,"=İletim",'[7]TABLO-1'!J4:J32873,"=Şebeke İşletmecisi",'[7]TABLO-1'!K4:K32873,"=Bildirimli",'[7]TABLO-1'!I4:I32873,"=Uzun",'[7]TABLO-1'!D4:D32873,"=DEMİRKÖY")/P8</f>
        <v>0</v>
      </c>
      <c r="K21" s="10">
        <f>SUMIFS('[7]TABLO-1'!Z4:Z32873,'[7]TABLO-1'!H4:H32873,"=İletim",'[7]TABLO-1'!J4:J32873,"=Şebeke İşletmecisi",'[7]TABLO-1'!K4:K32873,"=Bildirimli",'[7]TABLO-1'!I4:I32873,"=Uzun",'[7]TABLO-1'!D4:D32873,"=DEMİRKÖY")/P14</f>
        <v>0</v>
      </c>
      <c r="L21" s="10">
        <f>IFERROR((((J21*$P$8)+(K21*$P$14))/$P$23),"0,00")</f>
        <v>0</v>
      </c>
      <c r="M21" s="11">
        <f>IFERROR((((F21*$P$17)+(I21*$P$20)+(L21*$P$23))/$P$26),"0,00")</f>
        <v>0</v>
      </c>
      <c r="O21" s="51"/>
      <c r="P21" s="48"/>
    </row>
    <row r="22" spans="2:16" ht="15" customHeight="1" thickBot="1" x14ac:dyDescent="0.3">
      <c r="B22" s="30" t="s">
        <v>16</v>
      </c>
      <c r="C22" s="3" t="s">
        <v>4</v>
      </c>
      <c r="D22" s="10" t="e">
        <f>SUMIFS('[7]TABLO-1'!U4:U32873,'[7]TABLO-1'!H4:H32873,"=Dağıtım-OG",'[7]TABLO-1'!J4:J32873,"=Şebeke İşletmecisi",'[7]TABLO-1'!K4:K32873,"=Bildirimli",'[7]TABLO-1'!I4:I32873,"=Uzun",'[7]TABLO-1'!D4:D32873,"=DEMİRKÖY")/P6</f>
        <v>#DIV/0!</v>
      </c>
      <c r="E22" s="10" t="e">
        <f>SUMIFS('[7]TABLO-1'!V4:V32873,'[7]TABLO-1'!H4:H32873,"=Dağıtım-OG",'[7]TABLO-1'!J4:J32873,"=Şebeke İşletmecisi",'[7]TABLO-1'!K4:K32873,"=Bildirimli",'[7]TABLO-1'!I4:I32873,"=Uzun",'[7]TABLO-1'!D4:D32873,"=DEMİRKÖY")/P12</f>
        <v>#DIV/0!</v>
      </c>
      <c r="F22" s="10" t="str">
        <f t="shared" ref="F22:F25" si="5">IFERROR((((D22*$P$6)+(E22*$P$12))/$P$17),"0,00")</f>
        <v>0,00</v>
      </c>
      <c r="G22" s="10">
        <f>SUMIFS('[7]TABLO-1'!W4:W32873,'[7]TABLO-1'!H4:H32873,"=Dağıtım-OG",'[7]TABLO-1'!J4:J32873,"=Şebeke İşletmecisi",'[7]TABLO-1'!K4:K32873,"=Bildirimli",'[7]TABLO-1'!I4:I32873,"=Uzun",'[7]TABLO-1'!D4:D32873,"=DEMİRKÖY")/P7</f>
        <v>0</v>
      </c>
      <c r="H22" s="10">
        <f>SUMIFS('[7]TABLO-1'!X4:X32873,'[7]TABLO-1'!H4:H32873,"=Dağıtım-OG",'[7]TABLO-1'!J4:J32873,"=Şebeke İşletmecisi",'[7]TABLO-1'!K4:K32873,"=Bildirimli",'[7]TABLO-1'!I4:I32873,"=Uzun",'[7]TABLO-1'!D4:D32873,"=DEMİRKÖY")/P13</f>
        <v>9.0802085084916759E-2</v>
      </c>
      <c r="I22" s="10">
        <f t="shared" ref="I22:I25" si="6">IFERROR((((G22*$P$7)+(H22*$P$13))/$P$20),"0,00")</f>
        <v>9.0210491146007349E-2</v>
      </c>
      <c r="J22" s="10">
        <f>SUMIFS('[7]TABLO-1'!Y4:Y32873,'[7]TABLO-1'!H4:H32873,"=Dağıtım-OG",'[7]TABLO-1'!J4:J32873,"=Şebeke İşletmecisi",'[7]TABLO-1'!K4:K32873,"=Bildirimli",'[7]TABLO-1'!I4:I32873,"=Uzun",'[7]TABLO-1'!D4:D32873,"=DEMİRKÖY")/P8</f>
        <v>14.285714285714286</v>
      </c>
      <c r="K22" s="10">
        <f>SUMIFS('[7]TABLO-1'!Z4:Z32873,'[7]TABLO-1'!H4:H32873,"=Dağıtım-OG",'[7]TABLO-1'!J4:J32873,"=Şebeke İşletmecisi",'[7]TABLO-1'!K4:K32873,"=Bildirimli",'[7]TABLO-1'!I4:I32873,"=Uzun",'[7]TABLO-1'!D4:D32873,"=DEMİRKÖY")/P14</f>
        <v>13.2</v>
      </c>
      <c r="L22" s="10">
        <f t="shared" ref="L22:L25" si="7">IFERROR((((J22*$P$8)+(K22*$P$14))/$P$23),"0,00")</f>
        <v>13.221288515406162</v>
      </c>
      <c r="M22" s="11">
        <f t="shared" ref="M22:M25" si="8">IFERROR((((F22*$P$17)+(I22*$P$20)+(L22*$P$23))/$P$26),"0,00")</f>
        <v>4.6765952820958798</v>
      </c>
      <c r="O22" s="52"/>
      <c r="P22" s="49"/>
    </row>
    <row r="23" spans="2:16" ht="15" customHeight="1" thickBot="1" x14ac:dyDescent="0.3">
      <c r="B23" s="30" t="s">
        <v>16</v>
      </c>
      <c r="C23" s="3" t="s">
        <v>2</v>
      </c>
      <c r="D23" s="10" t="e">
        <f>SUMIFS('[7]TABLO-1'!U4:U32873,'[7]TABLO-1'!H4:H32873,"=Dağıtım-OG",'[7]TABLO-1'!J4:J32873,"=Güvenlik",'[7]TABLO-1'!K4:K32873,"=Bildirimli",'[7]TABLO-1'!I4:I32873,"=Uzun",'[7]TABLO-1'!D4:D32873,"=DEMİRKÖY")/P6</f>
        <v>#DIV/0!</v>
      </c>
      <c r="E23" s="10" t="e">
        <f>SUMIFS('[7]TABLO-1'!V4:V32873,'[7]TABLO-1'!H4:H32873,"=Dağıtım-OG",'[7]TABLO-1'!J4:J32873,"=Güvenlik",'[7]TABLO-1'!K4:K32873,"=Bildirimli",'[7]TABLO-1'!I4:I32873,"=Uzun",'[7]TABLO-1'!D4:D32873,"=DEMİRKÖY")/P12</f>
        <v>#DIV/0!</v>
      </c>
      <c r="F23" s="10" t="str">
        <f t="shared" si="5"/>
        <v>0,00</v>
      </c>
      <c r="G23" s="10">
        <f>SUMIFS('[7]TABLO-1'!W4:W32873,'[7]TABLO-1'!H4:H32873,"=Dağıtım-OG",'[7]TABLO-1'!J4:J32873,"=Güvenlik",'[7]TABLO-1'!K4:K32873,"=Bildirimli",'[7]TABLO-1'!I4:I32873,"=Uzun",'[7]TABLO-1'!D4:D32873,"=DEMİRKÖY")/P7</f>
        <v>0</v>
      </c>
      <c r="H23" s="10">
        <f>SUMIFS('[7]TABLO-1'!X4:X32873,'[7]TABLO-1'!H4:H32873,"=Dağıtım-OG",'[7]TABLO-1'!J4:J32873,"=Güvenlik",'[7]TABLO-1'!K4:K32873,"=Bildirimli",'[7]TABLO-1'!I4:I32873,"=Uzun",'[7]TABLO-1'!D4:D32873,"=DEMİRKÖY")/P13</f>
        <v>0</v>
      </c>
      <c r="I23" s="10">
        <f t="shared" si="6"/>
        <v>0</v>
      </c>
      <c r="J23" s="10">
        <f>SUMIFS('[7]TABLO-1'!Y4:Y32873,'[7]TABLO-1'!H4:H32873,"=Dağıtım-OG",'[7]TABLO-1'!J4:J32873,"=Güvenlik",'[7]TABLO-1'!K4:K32873,"=Bildirimli",'[7]TABLO-1'!I4:I32873,"=Uzun",'[7]TABLO-1'!D4:D32873,"=DEMİRKÖY")/P8</f>
        <v>0</v>
      </c>
      <c r="K23" s="10">
        <f>SUMIFS('[7]TABLO-1'!Z4:Z32873,'[7]TABLO-1'!H4:H32873,"=Dağıtım-OG",'[7]TABLO-1'!J4:J32873,"=Güvenlik",'[7]TABLO-1'!K4:K32873,"=Bildirimli",'[7]TABLO-1'!I4:I32873,"=Uzun",'[7]TABLO-1'!D4:D32873,"=DEMİRKÖY")/P14</f>
        <v>0</v>
      </c>
      <c r="L23" s="10">
        <f t="shared" si="7"/>
        <v>0</v>
      </c>
      <c r="M23" s="11">
        <f t="shared" si="8"/>
        <v>0</v>
      </c>
      <c r="O23" s="43" t="s">
        <v>39</v>
      </c>
      <c r="P23" s="47">
        <f>P8+P14</f>
        <v>3213</v>
      </c>
    </row>
    <row r="24" spans="2:16" ht="15" customHeight="1" thickBot="1" x14ac:dyDescent="0.3">
      <c r="B24" s="30" t="s">
        <v>19</v>
      </c>
      <c r="C24" s="3" t="s">
        <v>4</v>
      </c>
      <c r="D24" s="12" t="e">
        <f>SUMIFS('[7]TABLO-1'!U4:U32873,'[7]TABLO-1'!H4:H32873,"=Dağıtım-AG",'[7]TABLO-1'!J4:J32873,"=Şebeke İşletmecisi",'[7]TABLO-1'!K4:K32873,"=Bildirimli",'[7]TABLO-1'!I4:I32873,"=Uzun",'[7]TABLO-1'!D4:D32873,"=DEMİRKÖY")/P6</f>
        <v>#DIV/0!</v>
      </c>
      <c r="E24" s="10" t="e">
        <f>SUMIFS('[7]TABLO-1'!V4:V32873,'[7]TABLO-1'!H4:H32873,"=Dağıtım-AG",'[7]TABLO-1'!J4:J32873,"=Şebeke İşletmecisi",'[7]TABLO-1'!K4:K32873,"=Bildirimli",'[7]TABLO-1'!I4:I32873,"=Uzun",'[7]TABLO-1'!D4:D32873,"=DEMİRKÖY")/P12</f>
        <v>#DIV/0!</v>
      </c>
      <c r="F24" s="10" t="str">
        <f t="shared" si="5"/>
        <v>0,00</v>
      </c>
      <c r="G24" s="12">
        <f>SUMIFS('[7]TABLO-1'!W4:W32873,'[7]TABLO-1'!H4:H32873,"=Dağıtım-AG",'[7]TABLO-1'!J4:J32873,"=Şebeke İşletmecisi",'[7]TABLO-1'!K4:K32873,"=Bildirimli",'[7]TABLO-1'!I4:I32873,"=Uzun",'[7]TABLO-1'!D4:D32873,"=DEMİRKÖY")/P7</f>
        <v>0</v>
      </c>
      <c r="H24" s="10">
        <f>SUMIFS('[7]TABLO-1'!X4:X32873,'[7]TABLO-1'!H4:H32873,"=Dağıtım-AG",'[7]TABLO-1'!J4:J32873,"=Şebeke İşletmecisi",'[7]TABLO-1'!K4:K32873,"=Bildirimli",'[7]TABLO-1'!I4:I32873,"=Uzun",'[7]TABLO-1'!D4:D32873,"=DEMİRKÖY")/P13</f>
        <v>0</v>
      </c>
      <c r="I24" s="10">
        <f t="shared" si="6"/>
        <v>0</v>
      </c>
      <c r="J24" s="12">
        <f>SUMIFS('[7]TABLO-1'!Y4:Y32873,'[7]TABLO-1'!H4:H32873,"=Dağıtım-AG",'[7]TABLO-1'!J4:J32873,"=Şebeke İşletmecisi",'[7]TABLO-1'!K4:K32873,"=Bildirimli",'[7]TABLO-1'!I4:I32873,"=Uzun",'[7]TABLO-1'!D4:D32873,"=DEMİRKÖY")/P8</f>
        <v>0</v>
      </c>
      <c r="K24" s="10">
        <f>SUMIFS('[7]TABLO-1'!Z4:Z32873,'[7]TABLO-1'!H4:H32873,"=Dağıtım-AG",'[7]TABLO-1'!J4:J32873,"=Şebeke İşletmecisi",'[7]TABLO-1'!K4:K32873,"=Bildirimli",'[7]TABLO-1'!I4:I32873,"=Uzun",'[7]TABLO-1'!D4:D32873,"=DEMİRKÖY")/P14</f>
        <v>0</v>
      </c>
      <c r="L24" s="10">
        <f t="shared" si="7"/>
        <v>0</v>
      </c>
      <c r="M24" s="11">
        <f t="shared" si="8"/>
        <v>0</v>
      </c>
      <c r="O24" s="43"/>
      <c r="P24" s="48"/>
    </row>
    <row r="25" spans="2:16" ht="15" customHeight="1" thickBot="1" x14ac:dyDescent="0.3">
      <c r="B25" s="30" t="s">
        <v>19</v>
      </c>
      <c r="C25" s="3" t="s">
        <v>2</v>
      </c>
      <c r="D25" s="12" t="e">
        <f>SUMIFS('[7]TABLO-1'!U4:U32873,'[7]TABLO-1'!H4:H32873,"=Dağıtım-AG",'[7]TABLO-1'!J4:J32873,"=Güvenlik",'[7]TABLO-1'!K4:K32873,"=Bildirimli",'[7]TABLO-1'!I4:I32873,"=Uzun",'[7]TABLO-1'!D4:D32873,"=DEMİRKÖY")/P6</f>
        <v>#DIV/0!</v>
      </c>
      <c r="E25" s="10" t="e">
        <f>SUMIFS('[7]TABLO-1'!V4:V32873,'[7]TABLO-1'!H4:H32873,"=Dağıtım-AG",'[7]TABLO-1'!J4:J32873,"=Güvenlik",'[7]TABLO-1'!K4:K32873,"=Bildirimli",'[7]TABLO-1'!I4:I32873,"=Uzun",'[7]TABLO-1'!D4:D32873,"=DEMİRKÖY")/P12</f>
        <v>#DIV/0!</v>
      </c>
      <c r="F25" s="10" t="str">
        <f t="shared" si="5"/>
        <v>0,00</v>
      </c>
      <c r="G25" s="12">
        <f>SUMIFS('[7]TABLO-1'!W4:W32873,'[7]TABLO-1'!H4:H32873,"=Dağıtım-AG",'[7]TABLO-1'!J4:J32873,"=Güvenlik",'[7]TABLO-1'!K4:K32873,"=Bildirimli",'[7]TABLO-1'!I4:I32873,"=Uzun",'[7]TABLO-1'!D4:D32873,"=DEMİRKÖY")/P7</f>
        <v>0</v>
      </c>
      <c r="H25" s="10">
        <f>SUMIFS('[7]TABLO-1'!X4:X32873,'[7]TABLO-1'!H4:H32873,"=Dağıtım-AG",'[7]TABLO-1'!J4:J32873,"=Güvenlik",'[7]TABLO-1'!K4:K32873,"=Bildirimli",'[7]TABLO-1'!I4:I32873,"=Uzun",'[7]TABLO-1'!D4:D32873,"=DEMİRKÖY")/P13</f>
        <v>0</v>
      </c>
      <c r="I25" s="10">
        <f t="shared" si="6"/>
        <v>0</v>
      </c>
      <c r="J25" s="12">
        <f>SUMIFS('[7]TABLO-1'!Y4:Y32873,'[7]TABLO-1'!H4:H32873,"=Dağıtım-AG",'[7]TABLO-1'!J4:J32873,"=Güvenlik",'[7]TABLO-1'!K4:K32873,"=Bildirimli",'[7]TABLO-1'!I4:I32873,"=Uzun",'[7]TABLO-1'!D4:D32873,"=DEMİRKÖY")/P8</f>
        <v>0</v>
      </c>
      <c r="K25" s="10">
        <f>SUMIFS('[7]TABLO-1'!Z4:Z32873,'[7]TABLO-1'!H4:H32873,"=Dağıtım-AG",'[7]TABLO-1'!J4:J32873,"=Güvenlik",'[7]TABLO-1'!K4:K32873,"=Bildirimli",'[7]TABLO-1'!I4:I32873,"=Uzun",'[7]TABLO-1'!D4:D32873,"=DEMİRKÖY")/P14</f>
        <v>0</v>
      </c>
      <c r="L25" s="10">
        <f t="shared" si="7"/>
        <v>0</v>
      </c>
      <c r="M25" s="11">
        <f t="shared" si="8"/>
        <v>0</v>
      </c>
      <c r="O25" s="43"/>
      <c r="P25" s="49"/>
    </row>
    <row r="26" spans="2:16" ht="15" customHeight="1" thickBot="1" x14ac:dyDescent="0.3">
      <c r="B26" s="60" t="s">
        <v>20</v>
      </c>
      <c r="C26" s="61"/>
      <c r="D26" s="10" t="e">
        <f>SUM(D21:D25)</f>
        <v>#DIV/0!</v>
      </c>
      <c r="E26" s="10" t="e">
        <f t="shared" ref="E26:M26" si="9">SUM(E21:E25)</f>
        <v>#DIV/0!</v>
      </c>
      <c r="F26" s="10">
        <f t="shared" si="9"/>
        <v>0</v>
      </c>
      <c r="G26" s="10">
        <f t="shared" si="9"/>
        <v>0</v>
      </c>
      <c r="H26" s="10">
        <f t="shared" si="9"/>
        <v>9.0802085084916759E-2</v>
      </c>
      <c r="I26" s="10">
        <f t="shared" si="9"/>
        <v>9.0210491146007349E-2</v>
      </c>
      <c r="J26" s="10">
        <f t="shared" si="9"/>
        <v>14.285714285714286</v>
      </c>
      <c r="K26" s="10">
        <f t="shared" si="9"/>
        <v>13.2</v>
      </c>
      <c r="L26" s="10">
        <f t="shared" si="9"/>
        <v>13.221288515406162</v>
      </c>
      <c r="M26" s="11">
        <f t="shared" si="9"/>
        <v>4.6765952820958798</v>
      </c>
      <c r="O26" s="43" t="s">
        <v>22</v>
      </c>
      <c r="P26" s="44">
        <f>P20+P17+P23</f>
        <v>9199</v>
      </c>
    </row>
    <row r="27" spans="2:16" ht="15" customHeight="1" x14ac:dyDescent="0.25">
      <c r="B27" s="29"/>
      <c r="O27" s="43"/>
      <c r="P27" s="45"/>
    </row>
    <row r="28" spans="2:16" ht="15" customHeight="1" thickBot="1" x14ac:dyDescent="0.3">
      <c r="B28" s="29" t="s">
        <v>23</v>
      </c>
      <c r="O28" s="43"/>
      <c r="P28" s="45"/>
    </row>
    <row r="29" spans="2:16" ht="15" customHeight="1" thickBot="1" x14ac:dyDescent="0.3">
      <c r="B29" s="55"/>
      <c r="C29" s="56"/>
      <c r="D29" s="57" t="s">
        <v>40</v>
      </c>
      <c r="E29" s="58"/>
      <c r="F29" s="59"/>
      <c r="G29" s="37" t="s">
        <v>41</v>
      </c>
      <c r="H29" s="38"/>
      <c r="I29" s="39"/>
      <c r="J29" s="37" t="s">
        <v>42</v>
      </c>
      <c r="K29" s="38"/>
      <c r="L29" s="39"/>
      <c r="M29" s="7"/>
      <c r="O29" s="43"/>
      <c r="P29" s="46"/>
    </row>
    <row r="30" spans="2:16" ht="15" customHeight="1" thickBot="1" x14ac:dyDescent="0.3">
      <c r="B30" s="30" t="s">
        <v>9</v>
      </c>
      <c r="C30" s="3" t="s">
        <v>10</v>
      </c>
      <c r="D30" s="4" t="s">
        <v>11</v>
      </c>
      <c r="E30" s="4" t="s">
        <v>12</v>
      </c>
      <c r="F30" s="4" t="s">
        <v>13</v>
      </c>
      <c r="G30" s="4" t="s">
        <v>0</v>
      </c>
      <c r="H30" s="4" t="s">
        <v>1</v>
      </c>
      <c r="I30" s="4" t="s">
        <v>13</v>
      </c>
      <c r="J30" s="4" t="s">
        <v>0</v>
      </c>
      <c r="K30" s="4" t="s">
        <v>1</v>
      </c>
      <c r="L30" s="4" t="s">
        <v>13</v>
      </c>
      <c r="M30" s="8" t="s">
        <v>14</v>
      </c>
    </row>
    <row r="31" spans="2:16" ht="15" customHeight="1" thickBot="1" x14ac:dyDescent="0.3">
      <c r="B31" s="30" t="s">
        <v>30</v>
      </c>
      <c r="C31" s="3" t="s">
        <v>4</v>
      </c>
      <c r="D31" s="10" t="e">
        <f>SUMIFS('[7]TABLO-1'!O4:O32873,'[7]TABLO-1'!H4:H32873,"=İletim",'[7]TABLO-1'!J4:J32873,"=Şebeke İşletmecisi",'[7]TABLO-1'!K4:K32873,"=Bildirimsiz",'[7]TABLO-1'!I4:I32873,"=Uzun",'[7]TABLO-1'!D4:D32873,"=DEMİRKÖY")/P6</f>
        <v>#DIV/0!</v>
      </c>
      <c r="E31" s="10" t="e">
        <f>SUMIFS('[7]TABLO-1'!P4:P32873,'[7]TABLO-1'!H4:H32873,"=İletim",'[7]TABLO-1'!J4:J32873,"=Şebeke İşletmecisi",'[7]TABLO-1'!K4:K32873,"=Bildirimsiz",'[7]TABLO-1'!I4:I32873,"=Uzun",'[7]TABLO-1'!D4:D32873,"=DEMİRKÖY")/P12</f>
        <v>#DIV/0!</v>
      </c>
      <c r="F31" s="10" t="str">
        <f>IFERROR((((D31*$P$6)+(E31*$P$12))/$P$17),"0,00")</f>
        <v>0,00</v>
      </c>
      <c r="G31" s="10">
        <f>SUMIFS('[7]TABLO-1'!Q4:Q32873,'[7]TABLO-1'!H4:H32873,"=İletim",'[7]TABLO-1'!J4:J32873,"=Şebeke İşletmecisi",'[7]TABLO-1'!K4:K32873,"=Bildirimsiz",'[7]TABLO-1'!I4:I32873,"=Uzun",'[7]TABLO-1'!D4:D32873,"=DEMİRKÖY")/P7</f>
        <v>0</v>
      </c>
      <c r="H31" s="10">
        <f>SUMIFS('[7]TABLO-1'!R4:R32873,'[7]TABLO-1'!H4:H32873,"=İletim",'[7]TABLO-1'!J4:J32873,"=Şebeke İşletmecisi",'[7]TABLO-1'!K4:K32873,"=Bildirimsiz",'[7]TABLO-1'!I4:I32873,"=Uzun",'[7]TABLO-1'!D4:D32873,"=DEMİRKÖY")/P13</f>
        <v>0</v>
      </c>
      <c r="I31" s="10">
        <f>IFERROR((((G31*$P$7)+(H31*$P$13))/$P$20),"0,00")</f>
        <v>0</v>
      </c>
      <c r="J31" s="10">
        <f>SUMIFS('[7]TABLO-1'!S4:S32873,'[7]TABLO-1'!H4:H32873,"=İletim",'[7]TABLO-1'!J4:J32873,"=Şebeke İşletmecisi",'[7]TABLO-1'!K4:K32873,"=Bildirimsiz",'[7]TABLO-1'!I4:I32873,"=Uzun",'[7]TABLO-1'!D4:D32873,"=DEMİRKÖY")/P8</f>
        <v>0</v>
      </c>
      <c r="K31" s="10">
        <f>SUMIFS('[7]TABLO-1'!T4:T32873,'[7]TABLO-1'!H4:H32873,"=İletim",'[7]TABLO-1'!J4:J32873,"=Şebeke İşletmecisi",'[7]TABLO-1'!K4:K32873,"=bildirimsiz",'[7]TABLO-1'!I4:I32873,"=Uzun",'[7]TABLO-1'!D4:D32873,"=DEMİRKÖY")/P14</f>
        <v>0</v>
      </c>
      <c r="L31" s="10">
        <f>IFERROR((((J31*$P$8)+(K31*$P$14))/$P$23),"0,00")</f>
        <v>0</v>
      </c>
      <c r="M31" s="11">
        <f>IFERROR((((F31*$P$17)+(I31*$P$20)+(L31*$P$23))/$P$26),"0,00")</f>
        <v>0</v>
      </c>
    </row>
    <row r="32" spans="2:16" ht="15" customHeight="1" thickBot="1" x14ac:dyDescent="0.3">
      <c r="B32" s="30" t="s">
        <v>30</v>
      </c>
      <c r="C32" s="3" t="s">
        <v>15</v>
      </c>
      <c r="D32" s="10" t="e">
        <f>SUMIFS('[7]TABLO-1'!O4:O32873,'[7]TABLO-1'!H4:H32873,"=iletim",'[7]TABLO-1'!J4:J32873,"=Mücbir Sebep",'[7]TABLO-1'!K4:K32873,"=Bildirimsiz",'[7]TABLO-1'!I4:I32873,"=Uzun",'[7]TABLO-1'!D4:D32873,"=DEMİRKÖY")/P6</f>
        <v>#DIV/0!</v>
      </c>
      <c r="E32" s="10" t="e">
        <f>SUMIFS('[7]TABLO-1'!P4:P32873,'[7]TABLO-1'!H4:H32873,"=İletim",'[7]TABLO-1'!J4:J32873,"=Mücbir Sebep",'[7]TABLO-1'!K4:K32873,"=Bildirimsiz",'[7]TABLO-1'!I4:I32873,"=Uzun",'[7]TABLO-1'!D4:D32873,"=DEMİRKÖY")/P12</f>
        <v>#DIV/0!</v>
      </c>
      <c r="F32" s="10" t="str">
        <f t="shared" ref="F32:F40" si="10">IFERROR((((D32*$P$6)+(E32*$P$12))/$P$17),"0,00")</f>
        <v>0,00</v>
      </c>
      <c r="G32" s="10">
        <f>SUMIFS('[7]TABLO-1'!Q4:Q32873,'[7]TABLO-1'!H4:H32873,"=İletim",'[7]TABLO-1'!J4:J32873,"=Mücbir Sebep",'[7]TABLO-1'!K4:K32873,"=Bildirimsiz",'[7]TABLO-1'!I4:I32873,"=Uzun",'[7]TABLO-1'!D4:D32873,"=DEMİRKÖY")/P7</f>
        <v>0</v>
      </c>
      <c r="H32" s="10">
        <f>SUMIFS('[7]TABLO-1'!R4:R32873,'[7]TABLO-1'!H4:H32873,"=İletim",'[7]TABLO-1'!J4:J32873,"=Mücbir Sebep",'[7]TABLO-1'!K4:K32873,"=Bildirimsiz",'[7]TABLO-1'!I4:I32873,"=Uzun",'[7]TABLO-1'!D4:D32873,"=DEMİRKÖY")/P13</f>
        <v>0</v>
      </c>
      <c r="I32" s="10">
        <f t="shared" ref="I32:I40" si="11">IFERROR((((G32*$P$7)+(H32*$P$13))/$P$20),"0,00")</f>
        <v>0</v>
      </c>
      <c r="J32" s="10">
        <f>SUMIFS('[7]TABLO-1'!S4:S32873,'[7]TABLO-1'!H4:H32873,"=İletim",'[7]TABLO-1'!J4:J32873,"=Mücbir Sebep",'[7]TABLO-1'!K4:K32873,"=Bildirimsiz",'[7]TABLO-1'!I4:I32873,"=Uzun",'[7]TABLO-1'!D4:D32873,"=DEMİRKÖY")/P8</f>
        <v>0</v>
      </c>
      <c r="K32" s="10">
        <f>SUMIFS('[7]TABLO-1'!T4:T32873,'[7]TABLO-1'!H4:H32873,"=İletim",'[7]TABLO-1'!J4:J32873,"=Mücbir Sebep",'[7]TABLO-1'!K4:K32873,"=bildirimsiz",'[7]TABLO-1'!I4:I32873,"=Uzun",'[7]TABLO-1'!D4:D32873,"=DEMİRKÖY")/P14</f>
        <v>0</v>
      </c>
      <c r="L32" s="10">
        <f t="shared" ref="L32:L40" si="12">IFERROR((((J32*$P$8)+(K32*$P$14))/$P$23),"0,00")</f>
        <v>0</v>
      </c>
      <c r="M32" s="11">
        <f t="shared" ref="M32:M40" si="13">IFERROR((((F32*$P$17)+(I32*$P$20)+(L32*$P$23))/$P$26),"0,00")</f>
        <v>0</v>
      </c>
    </row>
    <row r="33" spans="2:13" ht="15" customHeight="1" thickBot="1" x14ac:dyDescent="0.3">
      <c r="B33" s="30" t="s">
        <v>16</v>
      </c>
      <c r="C33" s="3" t="s">
        <v>4</v>
      </c>
      <c r="D33" s="10" t="e">
        <f>SUMIFS('[7]TABLO-1'!O4:O32873,'[7]TABLO-1'!H4:H32873,"=Dağıtım-OG",'[7]TABLO-1'!J4:J32873,"=Şebeke İşletmecisi",'[7]TABLO-1'!K4:K32873,"=Bildirimsiz",'[7]TABLO-1'!I4:I32873,"=Uzun",'[7]TABLO-1'!D4:D32873,"=DEMİRKÖY")/P6</f>
        <v>#DIV/0!</v>
      </c>
      <c r="E33" s="10" t="e">
        <f>SUMIFS('[7]TABLO-1'!P4:P32873,'[7]TABLO-1'!H4:H32873,"=Dağıtım-OG",'[7]TABLO-1'!J4:J32873,"=Şebeke İşletmecisi",'[7]TABLO-1'!K4:K32873,"=Bildirimsiz",'[7]TABLO-1'!I4:I32873,"=Uzun",'[7]TABLO-1'!D4:D32873,"=DEMİRKÖY")/P12</f>
        <v>#DIV/0!</v>
      </c>
      <c r="F33" s="10" t="str">
        <f t="shared" si="10"/>
        <v>0,00</v>
      </c>
      <c r="G33" s="10">
        <f>SUMIFS('[7]TABLO-1'!Q4:Q32873,'[7]TABLO-1'!H4:H32873,"=Dağıtım-OG",'[7]TABLO-1'!J4:J32873,"=Şebeke İşletmecisi",'[7]TABLO-1'!K4:K32873,"=Bildirimsiz",'[7]TABLO-1'!I4:I32873,"=Uzun",'[7]TABLO-1'!D4:D32873,"=DEMİRKÖY")/P7</f>
        <v>2.3076923076923075</v>
      </c>
      <c r="H33" s="10">
        <f>SUMIFS('[7]TABLO-1'!R4:R32873,'[7]TABLO-1'!H4:H32873,"=Dağıtım-OG",'[7]TABLO-1'!J4:J32873,"=Şebeke İşletmecisi",'[7]TABLO-1'!K4:K32873,"=Bildirimsiz",'[7]TABLO-1'!I4:I32873,"=Uzun",'[7]TABLO-1'!D4:D32873,"=DEMİRKÖY")/P13</f>
        <v>2.62535732302001</v>
      </c>
      <c r="I33" s="10">
        <f t="shared" si="11"/>
        <v>2.6232876712328768</v>
      </c>
      <c r="J33" s="10">
        <f>SUMIFS('[7]TABLO-1'!S4:S32873,'[7]TABLO-1'!H4:H32873,"=Dağıtım-OG",'[7]TABLO-1'!J4:J32873,"=Şebeke İşletmecisi",'[7]TABLO-1'!K4:K32873,"=Bildirimsiz",'[7]TABLO-1'!I4:I32873,"=Uzun",'[7]TABLO-1'!D4:D32873,"=DEMİRKÖY")/P8</f>
        <v>3.3015873015873014</v>
      </c>
      <c r="K33" s="10">
        <f>SUMIFS('[7]TABLO-1'!T4:T32873,'[7]TABLO-1'!H4:H32873,"=Dağıtım-OG",'[7]TABLO-1'!J4:J32873,"=Şebeke İşletmecisi",'[7]TABLO-1'!K4:K32873,"=bildirimsiz",'[7]TABLO-1'!I4:I32873,"=Uzun",'[7]TABLO-1'!D4:D32873,"=DEMİRKÖY")/P14</f>
        <v>3.3387301587301588</v>
      </c>
      <c r="L33" s="10">
        <f t="shared" si="12"/>
        <v>3.3380018674136323</v>
      </c>
      <c r="M33" s="11">
        <f t="shared" si="13"/>
        <v>2.8729209696706164</v>
      </c>
    </row>
    <row r="34" spans="2:13" ht="15" customHeight="1" thickBot="1" x14ac:dyDescent="0.3">
      <c r="B34" s="30" t="s">
        <v>16</v>
      </c>
      <c r="C34" s="3" t="s">
        <v>3</v>
      </c>
      <c r="D34" s="10" t="e">
        <f>SUMIFS('[7]TABLO-1'!O4:O32873,'[7]TABLO-1'!H4:H32873,"=Dağıtım-OG",'[7]TABLO-1'!J4:J32873,"=Dışsal",'[7]TABLO-1'!K4:K32873,"=Bildirimsiz",'[7]TABLO-1'!I4:I32873,"=Uzun",'[7]TABLO-1'!D4:D32873,"=DEMİRKÖY")/P6</f>
        <v>#DIV/0!</v>
      </c>
      <c r="E34" s="10" t="e">
        <f>SUMIFS('[7]TABLO-1'!P4:P32873,'[7]TABLO-1'!H4:H32873,"=Dağıtım-OG",'[7]TABLO-1'!J4:J32873,"=Dışsal",'[7]TABLO-1'!K4:K32873,"=Bildirimsiz",'[7]TABLO-1'!I4:I32873,"=Uzun",'[7]TABLO-1'!D4:D32873,"=DEMİRKÖY")/P12</f>
        <v>#DIV/0!</v>
      </c>
      <c r="F34" s="10" t="str">
        <f t="shared" si="10"/>
        <v>0,00</v>
      </c>
      <c r="G34" s="10">
        <f>SUMIFS('[7]TABLO-1'!Q4:Q32873,'[7]TABLO-1'!H4:H32873,"=Dağıtım-OG",'[7]TABLO-1'!J4:J32873,"=Dışsal",'[7]TABLO-1'!K4:K32873,"=Bildirimsiz",'[7]TABLO-1'!I4:I32873,"=Uzun",'[7]TABLO-1'!D4:D32873,"=DEMİRKÖY")/P7</f>
        <v>0</v>
      </c>
      <c r="H34" s="10">
        <f>SUMIFS('[7]TABLO-1'!R4:R32873,'[7]TABLO-1'!H4:H32873,"=Dağıtım-OG",'[7]TABLO-1'!J4:J32873,"=Dışsal",'[7]TABLO-1'!K4:K32873,"=Bildirimsiz",'[7]TABLO-1'!I4:I32873,"=Uzun",'[7]TABLO-1'!D4:D32873,"=DEMİRKÖY")/P13</f>
        <v>0</v>
      </c>
      <c r="I34" s="10">
        <f t="shared" si="11"/>
        <v>0</v>
      </c>
      <c r="J34" s="10">
        <f>SUMIFS('[7]TABLO-1'!S4:S32873,'[7]TABLO-1'!H4:H32873,"=Dağıtım-OG",'[7]TABLO-1'!J4:J32873,"=Dışsal",'[7]TABLO-1'!K4:K32873,"=Bildirimsiz",'[7]TABLO-1'!I4:I32873,"=Uzun",'[7]TABLO-1'!D4:D32873,"=DEMİRKÖY")/P8</f>
        <v>0</v>
      </c>
      <c r="K34" s="10">
        <f>SUMIFS('[7]TABLO-1'!T4:T32873,'[7]TABLO-1'!H4:H32873,"=Dağıtım-OG",'[7]TABLO-1'!J4:J32873,"=Dışsal",'[7]TABLO-1'!K4:K32873,"=bildirimsiz",'[7]TABLO-1'!I4:I32873,"=Uzun",'[7]TABLO-1'!D4:D32873,"=DEMİRKÖY")/P14</f>
        <v>0</v>
      </c>
      <c r="L34" s="10">
        <f t="shared" si="12"/>
        <v>0</v>
      </c>
      <c r="M34" s="11">
        <f t="shared" si="13"/>
        <v>0</v>
      </c>
    </row>
    <row r="35" spans="2:13" ht="15" customHeight="1" thickBot="1" x14ac:dyDescent="0.3">
      <c r="B35" s="30" t="s">
        <v>16</v>
      </c>
      <c r="C35" s="3" t="s">
        <v>15</v>
      </c>
      <c r="D35" s="10" t="e">
        <f>SUMIFS('[7]TABLO-1'!O4:O32873,'[7]TABLO-1'!H4:H32873,"=Dağıtım-OG",'[7]TABLO-1'!J4:J32873,"=Mücbir Sebep",'[7]TABLO-1'!K4:K32873,"=Bildirimsiz",'[7]TABLO-1'!I4:I32873,"=Uzun",'[7]TABLO-1'!D4:D32873,"=DEMİRKÖY")/P6</f>
        <v>#DIV/0!</v>
      </c>
      <c r="E35" s="10" t="e">
        <f>SUMIFS('[7]TABLO-1'!P4:P32873,'[7]TABLO-1'!H4:H32873,"=Dağıtım-OG",'[7]TABLO-1'!J4:J32873,"=Mücbir Sebep",'[7]TABLO-1'!K4:K32873,"=Bildirimsiz",'[7]TABLO-1'!I4:I32873,"=Uzun",'[7]TABLO-1'!D4:D32873,"=DEMİRKÖY")/P12</f>
        <v>#DIV/0!</v>
      </c>
      <c r="F35" s="10" t="str">
        <f t="shared" si="10"/>
        <v>0,00</v>
      </c>
      <c r="G35" s="10">
        <f>SUMIFS('[7]TABLO-1'!Q4:Q32873,'[7]TABLO-1'!H4:H32873,"=Dağıtım-OG",'[7]TABLO-1'!J4:J32873,"=Mücbir Sebep",'[7]TABLO-1'!K4:K32873,"=Bildirimsiz",'[7]TABLO-1'!I4:I32873,"=Uzun",'[7]TABLO-1'!D4:D32873,"=DEMİRKÖY")/P7</f>
        <v>0</v>
      </c>
      <c r="H35" s="10">
        <f>SUMIFS('[7]TABLO-1'!R4:R32873,'[7]TABLO-1'!H4:H32873,"=Dağıtım-OG",'[7]TABLO-1'!J4:J32873,"=Mücbir Sebep",'[7]TABLO-1'!K4:K32873,"=Bildirimsiz",'[7]TABLO-1'!I4:I32873,"=Uzun",'[7]TABLO-1'!D4:D32873,"=DEMİRKÖY")/P13</f>
        <v>0</v>
      </c>
      <c r="I35" s="10">
        <f t="shared" si="11"/>
        <v>0</v>
      </c>
      <c r="J35" s="10">
        <f>SUMIFS('[7]TABLO-1'!S4:S32873,'[7]TABLO-1'!H4:H32873,"=Dağıtım-OG",'[7]TABLO-1'!J4:J32873,"=Mücbir Sebep",'[7]TABLO-1'!K4:K32873,"=Bildirimsiz",'[7]TABLO-1'!I4:I32873,"=Uzun",'[7]TABLO-1'!D4:D32873,"=DEMİRKÖY")/P8</f>
        <v>0</v>
      </c>
      <c r="K35" s="10">
        <f>SUMIFS('[7]TABLO-1'!T4:T32873,'[7]TABLO-1'!H4:H32873,"=Dağıtım-OG",'[7]TABLO-1'!J4:J32873,"=Mücbir Sebep",'[7]TABLO-1'!K4:K32873,"=bildirimsiz",'[7]TABLO-1'!I4:I32873,"=Uzun",'[7]TABLO-1'!D4:D32873,"=DEMİRKÖY")/P14</f>
        <v>0</v>
      </c>
      <c r="L35" s="10">
        <f t="shared" si="12"/>
        <v>0</v>
      </c>
      <c r="M35" s="11">
        <f t="shared" si="13"/>
        <v>0</v>
      </c>
    </row>
    <row r="36" spans="2:13" ht="15" customHeight="1" thickBot="1" x14ac:dyDescent="0.3">
      <c r="B36" s="30" t="s">
        <v>16</v>
      </c>
      <c r="C36" s="3" t="s">
        <v>2</v>
      </c>
      <c r="D36" s="10" t="e">
        <f>SUMIFS('[7]TABLO-1'!O4:O32873,'[7]TABLO-1'!H4:H32873,"=Dağıtım-OG",'[7]TABLO-1'!J4:J32873,"=Güvenlik",'[7]TABLO-1'!K4:K32873,"=Bildirimsiz",'[7]TABLO-1'!I4:I32873,"=Uzun",'[7]TABLO-1'!D4:D32873,"=DEMİRKÖY")/P6</f>
        <v>#DIV/0!</v>
      </c>
      <c r="E36" s="10" t="e">
        <f>SUMIFS('[7]TABLO-1'!P4:P32873,'[7]TABLO-1'!H4:H32873,"=Dağıtım-OG",'[7]TABLO-1'!J4:J32873,"=Güvenlik",'[7]TABLO-1'!K4:K32873,"=Bildirimsiz",'[7]TABLO-1'!I4:I32873,"=Uzun",'[7]TABLO-1'!D4:D32873,"=DEMİRKÖY")/P12</f>
        <v>#DIV/0!</v>
      </c>
      <c r="F36" s="10" t="str">
        <f t="shared" si="10"/>
        <v>0,00</v>
      </c>
      <c r="G36" s="10">
        <f>SUMIFS('[7]TABLO-1'!Q4:Q32873,'[7]TABLO-1'!H4:H32873,"=Dağıtım-OG",'[7]TABLO-1'!J4:J32873,"=Güvenlik",'[7]TABLO-1'!K4:K32873,"=Bildirimsiz",'[7]TABLO-1'!I4:I32873,"=Uzun",'[7]TABLO-1'!D4:D32873,"=DEMİRKÖY")/P7</f>
        <v>0</v>
      </c>
      <c r="H36" s="10">
        <f>SUMIFS('[7]TABLO-1'!R4:R32873,'[7]TABLO-1'!H4:H32873,"=Dağıtım-OG",'[7]TABLO-1'!J4:J32873,"=Güvenlik",'[7]TABLO-1'!K4:K32873,"=Bildirimsiz",'[7]TABLO-1'!I4:I32873,"=Uzun",'[7]TABLO-1'!D4:D32873,"=DEMİRKÖY")/P13</f>
        <v>0</v>
      </c>
      <c r="I36" s="10">
        <f t="shared" si="11"/>
        <v>0</v>
      </c>
      <c r="J36" s="10">
        <f>SUMIFS('[7]TABLO-1'!S4:S32873,'[7]TABLO-1'!H4:H32873,"=Dağıtım-OG",'[7]TABLO-1'!J4:J32873,"=Güvenlik",'[7]TABLO-1'!K4:K32873,"=Bildirimsiz",'[7]TABLO-1'!I4:I32873,"=Uzun",'[7]TABLO-1'!D4:D32873,"=DEMİRKÖY")/P8</f>
        <v>0</v>
      </c>
      <c r="K36" s="10">
        <f>SUMIFS('[7]TABLO-1'!T4:T32873,'[7]TABLO-1'!H4:H32873,"=Dağıtım-OG",'[7]TABLO-1'!J4:J32873,"=Güvenlik",'[7]TABLO-1'!K4:K32873,"=bildirimsiz",'[7]TABLO-1'!I4:I32873,"=Uzun",'[7]TABLO-1'!D4:D32873,"=DEMİRKÖY")/P14</f>
        <v>0</v>
      </c>
      <c r="L36" s="10">
        <f t="shared" si="12"/>
        <v>0</v>
      </c>
      <c r="M36" s="11">
        <f t="shared" si="13"/>
        <v>0</v>
      </c>
    </row>
    <row r="37" spans="2:13" ht="15" customHeight="1" thickBot="1" x14ac:dyDescent="0.3">
      <c r="B37" s="30" t="s">
        <v>19</v>
      </c>
      <c r="C37" s="3" t="s">
        <v>4</v>
      </c>
      <c r="D37" s="12" t="e">
        <f>SUMIFS('[7]TABLO-1'!O4:O32873,'[7]TABLO-1'!H4:H32873,"=Dağıtım-AG",'[7]TABLO-1'!J4:J32873,"=Şebeke İşletmecisi",'[7]TABLO-1'!K4:K32873,"=Bildirimsiz",'[7]TABLO-1'!I4:I32873,"=Uzun",'[7]TABLO-1'!D4:D32873,"=DEMİRKÖY")/P6</f>
        <v>#DIV/0!</v>
      </c>
      <c r="E37" s="10" t="e">
        <f>SUMIFS('[7]TABLO-1'!P4:P32873,'[7]TABLO-1'!H4:H32873,"=Dağıtım-AG",'[7]TABLO-1'!J4:J32873,"=Şebeke İşletmecisi",'[7]TABLO-1'!K4:K32873,"=Bildirimsiz",'[7]TABLO-1'!I4:I32873,"=Uzun",'[7]TABLO-1'!D4:D32873,"=DEMİRKÖY")/P12</f>
        <v>#DIV/0!</v>
      </c>
      <c r="F37" s="10" t="str">
        <f t="shared" si="10"/>
        <v>0,00</v>
      </c>
      <c r="G37" s="12">
        <f>SUMIFS('[7]TABLO-1'!Q4:Q32873,'[7]TABLO-1'!H4:H32873,"=Dağıtım-AG",'[7]TABLO-1'!J4:J32873,"=Şebeke İşletmecisi",'[7]TABLO-1'!K4:K32873,"=Bildirimsiz",'[7]TABLO-1'!I4:I32873,"=Uzun",'[7]TABLO-1'!D4:D32873,"=DEMİRKÖY")/P7</f>
        <v>0</v>
      </c>
      <c r="H37" s="10">
        <f>SUMIFS('[7]TABLO-1'!R4:R32873,'[7]TABLO-1'!H4:H32873,"=Dağıtım-AG",'[7]TABLO-1'!J4:J32873,"=Şebeke İşletmecisi",'[7]TABLO-1'!K4:K32873,"=Bildirimsiz",'[7]TABLO-1'!I4:I32873,"=Uzun",'[7]TABLO-1'!D4:D32873,"=DEMİRKÖY")/P13</f>
        <v>0.24314780561627711</v>
      </c>
      <c r="I37" s="10">
        <f t="shared" si="11"/>
        <v>0.24156364851319745</v>
      </c>
      <c r="J37" s="12">
        <f>SUMIFS('[7]TABLO-1'!S4:S32873,'[7]TABLO-1'!H4:H32873,"=Dağıtım-AG",'[7]TABLO-1'!J4:J32873,"=Şebeke İşletmecisi",'[7]TABLO-1'!K4:K32873,"=Bildirimsiz",'[7]TABLO-1'!I4:I32873,"=Uzun",'[7]TABLO-1'!D4:D32873,"=DEMİRKÖY")/P8</f>
        <v>0</v>
      </c>
      <c r="K37" s="10">
        <f>SUMIFS('[7]TABLO-1'!T4:T32873,'[7]TABLO-1'!H4:H32873,"=Dağıtım-AG",'[7]TABLO-1'!J4:J32873,"=Şebeke İşletmecisi",'[7]TABLO-1'!K4:K32873,"=bildirimsiz",'[7]TABLO-1'!I4:I32873,"=Uzun",'[7]TABLO-1'!D4:D32873,"=DEMİRKÖY")/P14</f>
        <v>8.4761904761904761E-2</v>
      </c>
      <c r="L37" s="10">
        <f t="shared" si="12"/>
        <v>8.309990662931839E-2</v>
      </c>
      <c r="M37" s="11">
        <f t="shared" si="13"/>
        <v>0.18621589303185129</v>
      </c>
    </row>
    <row r="38" spans="2:13" ht="15" customHeight="1" thickBot="1" x14ac:dyDescent="0.3">
      <c r="B38" s="30" t="s">
        <v>19</v>
      </c>
      <c r="C38" s="3" t="s">
        <v>3</v>
      </c>
      <c r="D38" s="12" t="e">
        <f>SUMIFS('[7]TABLO-1'!O4:O32873,'[7]TABLO-1'!H4:H32873,"=Dağıtım-AG",'[7]TABLO-1'!J4:J32873,"=Dışsal",'[7]TABLO-1'!K4:K32873,"=Bildirimsiz",'[7]TABLO-1'!I4:I32873,"=Uzun",'[7]TABLO-1'!D4:D32873,"=DEMİRKÖY")/P6</f>
        <v>#DIV/0!</v>
      </c>
      <c r="E38" s="10" t="e">
        <f>SUMIFS('[7]TABLO-1'!P4:P32873,'[7]TABLO-1'!H4:H32873,"=Dağıtım-AG",'[7]TABLO-1'!J4:J32873,"=Dışsal",'[7]TABLO-1'!K4:K32873,"=Bildirimsiz",'[7]TABLO-1'!I4:I32873,"=Uzun",'[7]TABLO-1'!D4:D32873,"=DEMİRKÖY")/P12</f>
        <v>#DIV/0!</v>
      </c>
      <c r="F38" s="10" t="str">
        <f t="shared" si="10"/>
        <v>0,00</v>
      </c>
      <c r="G38" s="12">
        <f>SUMIFS('[7]TABLO-1'!Q4:Q32873,'[7]TABLO-1'!H4:H32873,"=Dağıtım-AG",'[7]TABLO-1'!J4:J32873,"=Dışsal",'[7]TABLO-1'!K4:K32873,"=Bildirimsiz",'[7]TABLO-1'!I4:I32873,"=Uzun",'[7]TABLO-1'!D4:D32873,"=DEMİRKÖY")/P7</f>
        <v>0</v>
      </c>
      <c r="H38" s="10">
        <f>SUMIFS('[7]TABLO-1'!R4:R32873,'[7]TABLO-1'!H4:H32873,"=Dağıtım-AG",'[7]TABLO-1'!J4:J32873,"=Dışsal",'[7]TABLO-1'!K4:K32873,"=Bildirimsiz",'[7]TABLO-1'!I4:I32873,"=Uzun",'[7]TABLO-1'!D4:D32873,"=DEMİRKÖY")/P13</f>
        <v>0</v>
      </c>
      <c r="I38" s="10">
        <f t="shared" si="11"/>
        <v>0</v>
      </c>
      <c r="J38" s="12">
        <f>SUMIFS('[7]TABLO-1'!S4:S32873,'[7]TABLO-1'!H4:H32873,"=Dağıtım-AG",'[7]TABLO-1'!J4:J32873,"=Dışsal",'[7]TABLO-1'!K4:K32873,"=Bildirimsiz",'[7]TABLO-1'!I4:I32873,"=Uzun",'[7]TABLO-1'!D4:D32873,"=DEMİRKÖY")/P8</f>
        <v>0</v>
      </c>
      <c r="K38" s="10">
        <f>SUMIFS('[7]TABLO-1'!T4:T32873,'[7]TABLO-1'!H4:H32873,"=Dağıtım-AG",'[7]TABLO-1'!J4:J32873,"=Dışsal",'[7]TABLO-1'!K4:K32873,"=bildirimsiz",'[7]TABLO-1'!I4:I32873,"=Uzun",'[7]TABLO-1'!D4:D32873,"=DEMİRKÖY")/P14</f>
        <v>0</v>
      </c>
      <c r="L38" s="10">
        <f t="shared" si="12"/>
        <v>0</v>
      </c>
      <c r="M38" s="11">
        <f t="shared" si="13"/>
        <v>0</v>
      </c>
    </row>
    <row r="39" spans="2:13" ht="15" customHeight="1" thickBot="1" x14ac:dyDescent="0.3">
      <c r="B39" s="30" t="s">
        <v>19</v>
      </c>
      <c r="C39" s="3" t="s">
        <v>15</v>
      </c>
      <c r="D39" s="12" t="e">
        <f>SUMIFS('[7]TABLO-1'!O4:O32873,'[7]TABLO-1'!H4:H32873,"=Dağıtım-AG",'[7]TABLO-1'!J4:J32873,"=Mücbir Sebep",'[7]TABLO-1'!K4:K32873,"=Bildirimsiz",'[7]TABLO-1'!I4:I32873,"=Uzun",'[7]TABLO-1'!D4:D32873,"=DEMİRKÖY")/P6</f>
        <v>#DIV/0!</v>
      </c>
      <c r="E39" s="10" t="e">
        <f>SUMIFS('[7]TABLO-1'!P4:P32873,'[7]TABLO-1'!H4:H32873,"=Dağıtım-AG",'[7]TABLO-1'!J4:J32873,"=Mücbir Sebep",'[7]TABLO-1'!K4:K32873,"=Bildirimsiz",'[7]TABLO-1'!I4:I32873,"=Uzun",'[7]TABLO-1'!D4:D32873,"=DEMİRKÖY")/P12</f>
        <v>#DIV/0!</v>
      </c>
      <c r="F39" s="10" t="str">
        <f t="shared" si="10"/>
        <v>0,00</v>
      </c>
      <c r="G39" s="12">
        <f>SUMIFS('[7]TABLO-1'!Q4:Q32873,'[7]TABLO-1'!H4:H32873,"=Dağıtım-AG",'[7]TABLO-1'!J4:J32873,"=Mücbir Sebep",'[7]TABLO-1'!K4:K32873,"=Bildirimsiz",'[7]TABLO-1'!I4:I32873,"=Uzun",'[7]TABLO-1'!D4:D32873,"=DEMİRKÖY")/P7</f>
        <v>0</v>
      </c>
      <c r="H39" s="10">
        <f>SUMIFS('[7]TABLO-1'!R4:R32873,'[7]TABLO-1'!H4:H32873,"=Dağıtım-AG",'[7]TABLO-1'!J4:J32873,"=Mücbir Sebep",'[7]TABLO-1'!K4:K32873,"=Bildirimsiz",'[7]TABLO-1'!I4:I32873,"=Uzun",'[7]TABLO-1'!D4:D32873,"=DEMİRKÖY")/P13</f>
        <v>0</v>
      </c>
      <c r="I39" s="10">
        <f t="shared" si="11"/>
        <v>0</v>
      </c>
      <c r="J39" s="12">
        <f>SUMIFS('[7]TABLO-1'!S4:S32873,'[7]TABLO-1'!H4:H32873,"=Dağıtım-AG",'[7]TABLO-1'!J4:J32873,"=Mücbir Sebep",'[7]TABLO-1'!K4:K32873,"=Bildirimsiz",'[7]TABLO-1'!I4:I32873,"=Uzun",'[7]TABLO-1'!D4:D32873,"=DEMİRKÖY")/P8</f>
        <v>0</v>
      </c>
      <c r="K39" s="10">
        <f>SUMIFS('[7]TABLO-1'!T4:T32873,'[7]TABLO-1'!H4:H32873,"=Dağıtım-AG",'[7]TABLO-1'!J4:J32873,"=Mücbir Sebep",'[7]TABLO-1'!K4:K32873,"=bildirimsiz",'[7]TABLO-1'!I4:I32873,"=Uzun",'[7]TABLO-1'!D4:D32873,"=DEMİRKÖY")/P14</f>
        <v>0</v>
      </c>
      <c r="L39" s="10">
        <f t="shared" si="12"/>
        <v>0</v>
      </c>
      <c r="M39" s="11">
        <f t="shared" si="13"/>
        <v>0</v>
      </c>
    </row>
    <row r="40" spans="2:13" ht="15" customHeight="1" thickBot="1" x14ac:dyDescent="0.3">
      <c r="B40" s="30" t="s">
        <v>19</v>
      </c>
      <c r="C40" s="3" t="s">
        <v>2</v>
      </c>
      <c r="D40" s="12" t="e">
        <f>SUMIFS('[7]TABLO-1'!O4:O32873,'[7]TABLO-1'!H4:H32873,"=Dağıtım-AG",'[7]TABLO-1'!J4:J32873,"=Güvenlik",'[7]TABLO-1'!K4:K32873,"=Bildirimsiz",'[7]TABLO-1'!I4:I32873,"=Uzun",'[7]TABLO-1'!D4:D32873,"=DEMİRKÖY")/P6</f>
        <v>#DIV/0!</v>
      </c>
      <c r="E40" s="10" t="e">
        <f>SUMIFS('[7]TABLO-1'!P4:P32873,'[7]TABLO-1'!H4:H32873,"=Dağıtım-AG",'[7]TABLO-1'!J4:J32873,"=Güvenlik",'[7]TABLO-1'!K4:K32873,"=Bildirimsiz",'[7]TABLO-1'!I4:I32873,"=Uzun",'[7]TABLO-1'!D4:D32873,"=DEMİRKÖY")/P12</f>
        <v>#DIV/0!</v>
      </c>
      <c r="F40" s="10" t="str">
        <f t="shared" si="10"/>
        <v>0,00</v>
      </c>
      <c r="G40" s="12">
        <f>SUMIFS('[7]TABLO-1'!Q4:Q32873,'[7]TABLO-1'!H4:H32873,"=Dağıtım-AG",'[7]TABLO-1'!J4:J32873,"=Güvenlik",'[7]TABLO-1'!K4:K32873,"=Bildirimsiz",'[7]TABLO-1'!I4:I32873,"=Uzun",'[7]TABLO-1'!D4:D32873,"=DEMİRKÖY")/P7</f>
        <v>0</v>
      </c>
      <c r="H40" s="10">
        <f>SUMIFS('[7]TABLO-1'!R4:R32873,'[7]TABLO-1'!H4:H32873,"=Dağıtım-AG",'[7]TABLO-1'!J4:J32873,"=Güvenlik",'[7]TABLO-1'!K4:K32873,"=Bildirimsiz",'[7]TABLO-1'!I4:I32873,"=Uzun",'[7]TABLO-1'!D4:D32873,"=DEMİRKÖY")/P13</f>
        <v>0</v>
      </c>
      <c r="I40" s="10">
        <f t="shared" si="11"/>
        <v>0</v>
      </c>
      <c r="J40" s="12">
        <f>SUMIFS('[7]TABLO-1'!S4:S32873,'[7]TABLO-1'!H4:H32873,"=Dağıtım-AG",'[7]TABLO-1'!J4:J32873,"=Güvenlik",'[7]TABLO-1'!K4:K32873,"=Bildirimsiz",'[7]TABLO-1'!I4:I32873,"=Uzun",'[7]TABLO-1'!D4:D32873,"=DEMİRKÖY")/P8</f>
        <v>0</v>
      </c>
      <c r="K40" s="10">
        <f>SUMIFS('[7]TABLO-1'!T4:T32873,'[7]TABLO-1'!H4:H32873,"=Dağıtım-AG",'[7]TABLO-1'!J4:J32873,"=Güvenlik",'[7]TABLO-1'!K4:K32873,"=bildirimsiz",'[7]TABLO-1'!I4:I32873,"=Uzun",'[7]TABLO-1'!D4:D32873,"=DEMİRKÖY")/P14</f>
        <v>0</v>
      </c>
      <c r="L40" s="10">
        <f t="shared" si="12"/>
        <v>0</v>
      </c>
      <c r="M40" s="11">
        <f t="shared" si="13"/>
        <v>0</v>
      </c>
    </row>
    <row r="41" spans="2:13" ht="15" customHeight="1" thickBot="1" x14ac:dyDescent="0.3">
      <c r="B41" s="60" t="s">
        <v>20</v>
      </c>
      <c r="C41" s="61"/>
      <c r="D41" s="10" t="e">
        <f>SUM(D31:D40)</f>
        <v>#DIV/0!</v>
      </c>
      <c r="E41" s="10" t="e">
        <f t="shared" ref="E41:M41" si="14">SUM(E31:E40)</f>
        <v>#DIV/0!</v>
      </c>
      <c r="F41" s="10">
        <f t="shared" si="14"/>
        <v>0</v>
      </c>
      <c r="G41" s="10">
        <f t="shared" si="14"/>
        <v>2.3076923076923075</v>
      </c>
      <c r="H41" s="10">
        <f t="shared" si="14"/>
        <v>2.8685051286362873</v>
      </c>
      <c r="I41" s="10">
        <f t="shared" si="14"/>
        <v>2.8648513197460743</v>
      </c>
      <c r="J41" s="10">
        <f t="shared" si="14"/>
        <v>3.3015873015873014</v>
      </c>
      <c r="K41" s="10">
        <f t="shared" si="14"/>
        <v>3.4234920634920636</v>
      </c>
      <c r="L41" s="10">
        <f t="shared" si="14"/>
        <v>3.4211017740429508</v>
      </c>
      <c r="M41" s="10">
        <f t="shared" si="14"/>
        <v>3.0591368627024678</v>
      </c>
    </row>
    <row r="42" spans="2:13" ht="15" customHeight="1" x14ac:dyDescent="0.25">
      <c r="B42" s="29"/>
    </row>
    <row r="43" spans="2:13" ht="15" customHeight="1" thickBot="1" x14ac:dyDescent="0.3">
      <c r="B43" s="29" t="s">
        <v>24</v>
      </c>
    </row>
    <row r="44" spans="2:13" ht="15" customHeight="1" thickBot="1" x14ac:dyDescent="0.3">
      <c r="B44" s="55"/>
      <c r="C44" s="56"/>
      <c r="D44" s="57" t="s">
        <v>40</v>
      </c>
      <c r="E44" s="58"/>
      <c r="F44" s="59"/>
      <c r="G44" s="37" t="s">
        <v>41</v>
      </c>
      <c r="H44" s="38"/>
      <c r="I44" s="39"/>
      <c r="J44" s="37" t="s">
        <v>42</v>
      </c>
      <c r="K44" s="38"/>
      <c r="L44" s="39"/>
      <c r="M44" s="7"/>
    </row>
    <row r="45" spans="2:13" ht="15" customHeight="1" thickBot="1" x14ac:dyDescent="0.3">
      <c r="B45" s="30" t="s">
        <v>9</v>
      </c>
      <c r="C45" s="3" t="s">
        <v>10</v>
      </c>
      <c r="D45" s="4" t="s">
        <v>11</v>
      </c>
      <c r="E45" s="4" t="s">
        <v>12</v>
      </c>
      <c r="F45" s="4" t="s">
        <v>13</v>
      </c>
      <c r="G45" s="4" t="s">
        <v>0</v>
      </c>
      <c r="H45" s="4" t="s">
        <v>1</v>
      </c>
      <c r="I45" s="4" t="s">
        <v>13</v>
      </c>
      <c r="J45" s="4" t="s">
        <v>0</v>
      </c>
      <c r="K45" s="4" t="s">
        <v>1</v>
      </c>
      <c r="L45" s="4" t="s">
        <v>13</v>
      </c>
      <c r="M45" s="8" t="s">
        <v>14</v>
      </c>
    </row>
    <row r="46" spans="2:13" ht="15" customHeight="1" thickBot="1" x14ac:dyDescent="0.3">
      <c r="B46" s="30" t="s">
        <v>30</v>
      </c>
      <c r="C46" s="3" t="s">
        <v>4</v>
      </c>
      <c r="D46" s="10" t="e">
        <f>SUMIFS('[7]TABLO-1'!O4:O32873,'[7]TABLO-1'!H4:H32873,"=İletim",'[7]TABLO-1'!J4:J32873,"=Şebeke İşletmecisi",'[7]TABLO-1'!K4:K32873,"=Bildirimli",'[7]TABLO-1'!I4:I32873,"=Uzun",'[7]TABLO-1'!D4:D32873,"=DEMİRKÖY")/P6</f>
        <v>#DIV/0!</v>
      </c>
      <c r="E46" s="10" t="e">
        <f>SUMIFS('[7]TABLO-1'!P4:P32873,'[7]TABLO-1'!H4:H32873,"=İletim",'[7]TABLO-1'!J4:J32873,"=Şebeke İşletmecisi",'[7]TABLO-1'!K4:K32873,"=Bildirimli",'[7]TABLO-1'!I4:I32873,"=Uzun",'[7]TABLO-1'!D4:D32873,"=DEMİRKÖY")/P12</f>
        <v>#DIV/0!</v>
      </c>
      <c r="F46" s="10" t="str">
        <f>IFERROR((((D46*$P$6)+(E46*$P$12))/$P$17),"0,00")</f>
        <v>0,00</v>
      </c>
      <c r="G46" s="10">
        <f>SUMIFS('[7]TABLO-1'!Q4:Q32873,'[7]TABLO-1'!H4:H32873,"=İletim",'[7]TABLO-1'!J4:J32873,"=Şebeke İşletmecisi",'[7]TABLO-1'!K4:K32873,"=Bildirimli",'[7]TABLO-1'!I4:I32873,"=Uzun",'[7]TABLO-1'!D4:D32873,"=DEMİRKÖY")/P7</f>
        <v>0</v>
      </c>
      <c r="H46" s="10">
        <f>SUMIFS('[7]TABLO-1'!R4:R32873,'[7]TABLO-1'!H4:H32873,"=İletim",'[7]TABLO-1'!J4:J32873,"=Şebeke İşletmecisi",'[7]TABLO-1'!K4:K32873,"=Bildirimli",'[7]TABLO-1'!I4:I32873,"=Uzun",'[7]TABLO-1'!D4:D32873,"=DEMİRKÖY")/P13</f>
        <v>0</v>
      </c>
      <c r="I46" s="10">
        <f>IFERROR((((G46*$P$7)+(H46*$P$13))/$P$20),"0,00")</f>
        <v>0</v>
      </c>
      <c r="J46" s="10">
        <f>SUMIFS('[7]TABLO-1'!S4:S32873,'[7]TABLO-1'!H4:H32873,"=İletim",'[7]TABLO-1'!J4:J32873,"=Şebeke İşletmecisi",'[7]TABLO-1'!K4:K32873,"=Bildirimli",'[7]TABLO-1'!I4:I32873,"=Uzun",'[7]TABLO-1'!D4:D32873,"=DEMİRKÖY")/P8</f>
        <v>0</v>
      </c>
      <c r="K46" s="10">
        <f>SUMIFS('[7]TABLO-1'!T4:T32873,'[7]TABLO-1'!H4:H32873,"=İletim",'[7]TABLO-1'!J4:J32873,"=Şebeke İşletmecisi",'[7]TABLO-1'!K4:K32873,"=bildirimli",'[7]TABLO-1'!I4:I32873,"=Uzun",'[7]TABLO-1'!D4:D32873,"=DEMİRKÖY")/P14</f>
        <v>0</v>
      </c>
      <c r="L46" s="10">
        <f>IFERROR((((J46*$P$8)+(K46*$P$14))/$P$23),"0,00")</f>
        <v>0</v>
      </c>
      <c r="M46" s="11">
        <f>IFERROR((((F46*$P$17)+(I46*$P$20)+(L46*$P$23))/$P$26),"0,00")</f>
        <v>0</v>
      </c>
    </row>
    <row r="47" spans="2:13" ht="15" customHeight="1" thickBot="1" x14ac:dyDescent="0.3">
      <c r="B47" s="30" t="s">
        <v>16</v>
      </c>
      <c r="C47" s="3" t="s">
        <v>4</v>
      </c>
      <c r="D47" s="10" t="e">
        <f>SUMIFS('[7]TABLO-1'!O4:O32873,'[7]TABLO-1'!H4:H32873,"=Dağıtım-OG",'[7]TABLO-1'!J4:J32873,"=Şebeke İşletmecisi",'[7]TABLO-1'!K4:K32873,"=Bildirimli",'[7]TABLO-1'!I4:I32873,"=Uzun",'[7]TABLO-1'!D4:D32873,"=DEMİRKÖY")/P6</f>
        <v>#DIV/0!</v>
      </c>
      <c r="E47" s="10" t="e">
        <f>SUMIFS('[7]TABLO-1'!P4:P32873,'[7]TABLO-1'!H4:H32873,"=Dağıtım-OG",'[7]TABLO-1'!J4:J32873,"=Şebeke İşletmecisi",'[7]TABLO-1'!K4:K32873,"=Bildirimli",'[7]TABLO-1'!I4:I32873,"=Uzun",'[7]TABLO-1'!D4:D32873,"=DEMİRKÖY")/P12</f>
        <v>#DIV/0!</v>
      </c>
      <c r="F47" s="10" t="str">
        <f t="shared" ref="F47:F50" si="15">IFERROR((((D47*$P$6)+(E47*$P$12))/$P$17),"0,00")</f>
        <v>0,00</v>
      </c>
      <c r="G47" s="10">
        <f>SUMIFS('[7]TABLO-1'!Q4:Q32873,'[7]TABLO-1'!H4:H32873,"=Dağıtım-OG",'[7]TABLO-1'!J4:J32873,"=Şebeke İşletmecisi",'[7]TABLO-1'!K4:K32873,"=Bildirimli",'[7]TABLO-1'!I4:I32873,"=Uzun",'[7]TABLO-1'!D4:D32873,"=DEMİRKÖY")/P7</f>
        <v>0</v>
      </c>
      <c r="H47" s="10">
        <f>SUMIFS('[7]TABLO-1'!R4:R32873,'[7]TABLO-1'!H4:H32873,"=Dağıtım-OG",'[7]TABLO-1'!J4:J32873,"=Şebeke İşletmecisi",'[7]TABLO-1'!K4:K32873,"=Bildirimli",'[7]TABLO-1'!I4:I32873,"=Uzun",'[7]TABLO-1'!D4:D32873,"=DEMİRKÖY")/P13</f>
        <v>5.0445602824953761E-4</v>
      </c>
      <c r="I47" s="10">
        <f t="shared" ref="I47:I50" si="16">IFERROR((((G47*$P$7)+(H47*$P$13))/$P$20),"0,00")</f>
        <v>5.0116939525559636E-4</v>
      </c>
      <c r="J47" s="10">
        <f>SUMIFS('[7]TABLO-1'!S4:S32873,'[7]TABLO-1'!H4:H32873,"=Dağıtım-OG",'[7]TABLO-1'!J4:J32873,"=Şebeke İşletmecisi",'[7]TABLO-1'!K4:K32873,"=Bildirimli",'[7]TABLO-1'!I4:I32873,"=Uzun",'[7]TABLO-1'!D4:D32873,"=DEMİRKÖY")/P8</f>
        <v>7.9365079365079361E-2</v>
      </c>
      <c r="K47" s="10">
        <f>SUMIFS('[7]TABLO-1'!T4:T32873,'[7]TABLO-1'!H4:H32873,"=Dağıtım-OG",'[7]TABLO-1'!J4:J32873,"=Şebeke İşletmecisi",'[7]TABLO-1'!K4:K32873,"=bildirimli",'[7]TABLO-1'!I4:I32873,"=Uzun",'[7]TABLO-1'!D4:D32873,"=DEMİRKÖY")/P14</f>
        <v>7.3333333333333334E-2</v>
      </c>
      <c r="L47" s="10">
        <f t="shared" ref="L47:L50" si="17">IFERROR((((J47*$P$8)+(K47*$P$14))/$P$23),"0,00")</f>
        <v>7.3451602863367563E-2</v>
      </c>
      <c r="M47" s="11">
        <f t="shared" ref="M47:M50" si="18">IFERROR((((F47*$P$17)+(I47*$P$20)+(L47*$P$23))/$P$26),"0,00")</f>
        <v>2.5981084900532664E-2</v>
      </c>
    </row>
    <row r="48" spans="2:13" ht="15" customHeight="1" thickBot="1" x14ac:dyDescent="0.3">
      <c r="B48" s="30" t="s">
        <v>16</v>
      </c>
      <c r="C48" s="3" t="s">
        <v>2</v>
      </c>
      <c r="D48" s="10" t="e">
        <f>SUMIFS('[7]TABLO-1'!O4:O32873,'[7]TABLO-1'!H4:H32873,"=Dağıtım-OG",'[7]TABLO-1'!J4:J32873,"=Güvenlik",'[7]TABLO-1'!K4:K32873,"=Bildirimli",'[7]TABLO-1'!I4:I32873,"=Uzun",'[7]TABLO-1'!D4:D32873,"=DEMİRKÖY")/P6</f>
        <v>#DIV/0!</v>
      </c>
      <c r="E48" s="10" t="e">
        <f>SUMIFS('[7]TABLO-1'!P4:P32873,'[7]TABLO-1'!H4:H32873,"=Dağıtım-OG",'[7]TABLO-1'!J4:J32873,"=Güvenlik",'[7]TABLO-1'!K4:K32873,"=Bildirimli",'[7]TABLO-1'!I4:I32873,"=Uzun",'[7]TABLO-1'!D4:D32873,"=DEMİRKÖY")/P12</f>
        <v>#DIV/0!</v>
      </c>
      <c r="F48" s="10" t="str">
        <f t="shared" si="15"/>
        <v>0,00</v>
      </c>
      <c r="G48" s="10">
        <f>SUMIFS('[7]TABLO-1'!Q4:Q32873,'[7]TABLO-1'!H4:H32873,"=Dağıtım-OG",'[7]TABLO-1'!J4:J32873,"=Güvenlik",'[7]TABLO-1'!K4:K32873,"=Bildirimli",'[7]TABLO-1'!I4:I32873,"=Uzun",'[7]TABLO-1'!D4:D32873,"=DEMİRKÖY")/P7</f>
        <v>0</v>
      </c>
      <c r="H48" s="10">
        <f>SUMIFS('[7]TABLO-1'!R4:R32873,'[7]TABLO-1'!H4:H32873,"=Dağıtım-OG",'[7]TABLO-1'!J4:J32873,"=Güvenlik",'[7]TABLO-1'!K4:K32873,"=Bildirimli",'[7]TABLO-1'!I4:I32873,"=Uzun",'[7]TABLO-1'!D4:D32873,"=DEMİRKÖY")/P13</f>
        <v>0</v>
      </c>
      <c r="I48" s="10">
        <f t="shared" si="16"/>
        <v>0</v>
      </c>
      <c r="J48" s="10">
        <f>SUMIFS('[7]TABLO-1'!S4:S32873,'[7]TABLO-1'!H4:H32873,"=Dağıtım-OG",'[7]TABLO-1'!J4:J32873,"=Güvenlik",'[7]TABLO-1'!K4:K32873,"=Bildirimli",'[7]TABLO-1'!I4:I32873,"=Uzun",'[7]TABLO-1'!D4:D32873,"=DEMİRKÖY")/P8</f>
        <v>0</v>
      </c>
      <c r="K48" s="10">
        <f>SUMIFS('[7]TABLO-1'!T4:T32873,'[7]TABLO-1'!H4:H32873,"=Dağıtım-OG",'[7]TABLO-1'!J4:J32873,"=Güvenlik",'[7]TABLO-1'!K4:K32873,"=bildirimli",'[7]TABLO-1'!I4:I32873,"=Uzun",'[7]TABLO-1'!D4:D32873,"=DEMİRKÖY")/P14</f>
        <v>0</v>
      </c>
      <c r="L48" s="10">
        <f t="shared" si="17"/>
        <v>0</v>
      </c>
      <c r="M48" s="11">
        <f t="shared" si="18"/>
        <v>0</v>
      </c>
    </row>
    <row r="49" spans="2:13" ht="15" customHeight="1" thickBot="1" x14ac:dyDescent="0.3">
      <c r="B49" s="30" t="s">
        <v>19</v>
      </c>
      <c r="C49" s="3" t="s">
        <v>4</v>
      </c>
      <c r="D49" s="12" t="e">
        <f>SUMIFS('[7]TABLO-1'!O4:O32873,'[7]TABLO-1'!H4:H32873,"=Dağıtım-AG",'[7]TABLO-1'!J4:J32873,"=Şebeke İşletmecisi",'[7]TABLO-1'!K4:K32873,"=Bildirimli",'[7]TABLO-1'!I4:I32873,"=Uzun",'[7]TABLO-1'!D4:D32873,"=DEMİRKÖY")/P6</f>
        <v>#DIV/0!</v>
      </c>
      <c r="E49" s="10" t="e">
        <f>SUMIFS('[7]TABLO-1'!P4:P32873,'[7]TABLO-1'!H4:H32873,"=Dağıtım-AG",'[7]TABLO-1'!J4:J32873,"=Şebeke İşletmecisi",'[7]TABLO-1'!K4:K32873,"=Bildirimli",'[7]TABLO-1'!I4:I32873,"=Uzun",'[7]TABLO-1'!D4:D32873,"=DEMİRKÖY")/P12</f>
        <v>#DIV/0!</v>
      </c>
      <c r="F49" s="10" t="str">
        <f t="shared" si="15"/>
        <v>0,00</v>
      </c>
      <c r="G49" s="12">
        <f>SUMIFS('[7]TABLO-1'!Q4:Q32873,'[7]TABLO-1'!H4:H32873,"=Dağıtım-AG",'[7]TABLO-1'!J4:J32873,"=Şebeke İşletmecisi",'[7]TABLO-1'!K4:K32873,"=Bildirimli",'[7]TABLO-1'!I4:I32873,"=Uzun",'[7]TABLO-1'!D4:D32873,"=DEMİRKÖY")/P7</f>
        <v>0</v>
      </c>
      <c r="H49" s="10">
        <f>SUMIFS('[7]TABLO-1'!R4:R32873,'[7]TABLO-1'!H4:H32873,"=Dağıtım-AG",'[7]TABLO-1'!J4:J32873,"=Şebeke İşletmecisi",'[7]TABLO-1'!K4:K32873,"=Bildirimli",'[7]TABLO-1'!I4:I32873,"=Uzun",'[7]TABLO-1'!D4:D32873,"=DEMİRKÖY")/P13</f>
        <v>0</v>
      </c>
      <c r="I49" s="10">
        <f t="shared" si="16"/>
        <v>0</v>
      </c>
      <c r="J49" s="12">
        <f>SUMIFS('[7]TABLO-1'!S4:S32873,'[7]TABLO-1'!H4:H32873,"=Dağıtım-AG",'[7]TABLO-1'!J4:J32873,"=Şebeke İşletmecisi",'[7]TABLO-1'!K4:K32873,"=Bildirimli",'[7]TABLO-1'!I4:I32873,"=Uzun",'[7]TABLO-1'!D4:D32873,"=DEMİRKÖY")/P8</f>
        <v>0</v>
      </c>
      <c r="K49" s="10">
        <f>SUMIFS('[7]TABLO-1'!T4:T32873,'[7]TABLO-1'!H4:H32873,"=Dağıtım-AG",'[7]TABLO-1'!J4:J32873,"=Şebeke İşletmecisi",'[7]TABLO-1'!K4:K32873,"=bildirimli",'[7]TABLO-1'!I4:I32873,"=Uzun",'[7]TABLO-1'!D4:D32873,"=DEMİRKÖY")/P14</f>
        <v>0</v>
      </c>
      <c r="L49" s="10">
        <f t="shared" si="17"/>
        <v>0</v>
      </c>
      <c r="M49" s="11">
        <f t="shared" si="18"/>
        <v>0</v>
      </c>
    </row>
    <row r="50" spans="2:13" ht="15" customHeight="1" thickBot="1" x14ac:dyDescent="0.3">
      <c r="B50" s="30" t="s">
        <v>19</v>
      </c>
      <c r="C50" s="3" t="s">
        <v>2</v>
      </c>
      <c r="D50" s="12" t="e">
        <f>SUMIFS('[7]TABLO-1'!O4:O32873,'[7]TABLO-1'!H4:H32873,"=Dağıtım-AG",'[7]TABLO-1'!J4:J32873,"=Güvenlik",'[7]TABLO-1'!K4:K32873,"=Bildirimli",'[7]TABLO-1'!I4:I32873,"=Uzun",'[7]TABLO-1'!D4:D32873,"=DEMİRKÖY")/P6</f>
        <v>#DIV/0!</v>
      </c>
      <c r="E50" s="10" t="e">
        <f>SUMIFS('[7]TABLO-1'!P4:P32873,'[7]TABLO-1'!H4:H32873,"=Dağıtım-AG",'[7]TABLO-1'!J4:J32873,"=Güvenlik",'[7]TABLO-1'!K4:K32873,"=Bildirimli",'[7]TABLO-1'!I4:I32873,"=Uzun",'[7]TABLO-1'!D4:D32873,"=DEMİRKÖY")/P12</f>
        <v>#DIV/0!</v>
      </c>
      <c r="F50" s="10" t="str">
        <f t="shared" si="15"/>
        <v>0,00</v>
      </c>
      <c r="G50" s="12">
        <f>SUMIFS('[7]TABLO-1'!Q4:Q32873,'[7]TABLO-1'!H4:H32873,"=Dağıtım-AG",'[7]TABLO-1'!J4:J32873,"=Güvenlik",'[7]TABLO-1'!K4:K32873,"=Bildirimli",'[7]TABLO-1'!I4:I32873,"=Uzun",'[7]TABLO-1'!D4:D32873,"=DEMİRKÖY")/P7</f>
        <v>0</v>
      </c>
      <c r="H50" s="10">
        <f>SUMIFS('[7]TABLO-1'!R4:R32873,'[7]TABLO-1'!H4:H32873,"=Dağıtım-AG",'[7]TABLO-1'!J4:J32873,"=Güvenlik",'[7]TABLO-1'!K4:K32873,"=Bildirimli",'[7]TABLO-1'!I4:I32873,"=Uzun",'[7]TABLO-1'!D4:D32873,"=DEMİRKÖY")/P13</f>
        <v>0</v>
      </c>
      <c r="I50" s="10">
        <f t="shared" si="16"/>
        <v>0</v>
      </c>
      <c r="J50" s="12">
        <f>SUMIFS('[7]TABLO-1'!S4:S32873,'[7]TABLO-1'!H4:H32873,"=Dağıtım-AG",'[7]TABLO-1'!J4:J32873,"=Güvenlik",'[7]TABLO-1'!K4:K32873,"=Bildirimli",'[7]TABLO-1'!I4:I32873,"=Uzun",'[7]TABLO-1'!D4:D32873,"=DEMİRKÖY")/P8</f>
        <v>0</v>
      </c>
      <c r="K50" s="10">
        <f>SUMIFS('[7]TABLO-1'!T4:T32873,'[7]TABLO-1'!H4:H32873,"=Dağıtım-AG",'[7]TABLO-1'!J4:J32873,"=Güvenlik",'[7]TABLO-1'!K4:K32873,"=bildirimli",'[7]TABLO-1'!I4:I32873,"=Uzun",'[7]TABLO-1'!D4:D32873,"=DEMİRKÖY")/P14</f>
        <v>0</v>
      </c>
      <c r="L50" s="10">
        <f t="shared" si="17"/>
        <v>0</v>
      </c>
      <c r="M50" s="11">
        <f t="shared" si="18"/>
        <v>0</v>
      </c>
    </row>
    <row r="51" spans="2:13" ht="15" customHeight="1" thickBot="1" x14ac:dyDescent="0.3">
      <c r="B51" s="60" t="s">
        <v>20</v>
      </c>
      <c r="C51" s="61"/>
      <c r="D51" s="10" t="e">
        <f>SUM(D46:D50)</f>
        <v>#DIV/0!</v>
      </c>
      <c r="E51" s="10" t="e">
        <f t="shared" ref="E51:M51" si="19">SUM(E46:E50)</f>
        <v>#DIV/0!</v>
      </c>
      <c r="F51" s="10">
        <f t="shared" si="19"/>
        <v>0</v>
      </c>
      <c r="G51" s="10">
        <f t="shared" si="19"/>
        <v>0</v>
      </c>
      <c r="H51" s="10">
        <f t="shared" si="19"/>
        <v>5.0445602824953761E-4</v>
      </c>
      <c r="I51" s="10">
        <f t="shared" si="19"/>
        <v>5.0116939525559636E-4</v>
      </c>
      <c r="J51" s="10">
        <f t="shared" si="19"/>
        <v>7.9365079365079361E-2</v>
      </c>
      <c r="K51" s="10">
        <f t="shared" si="19"/>
        <v>7.3333333333333334E-2</v>
      </c>
      <c r="L51" s="10">
        <f t="shared" si="19"/>
        <v>7.3451602863367563E-2</v>
      </c>
      <c r="M51" s="10">
        <f t="shared" si="19"/>
        <v>2.5981084900532664E-2</v>
      </c>
    </row>
    <row r="52" spans="2:13" ht="15" customHeight="1" x14ac:dyDescent="0.25">
      <c r="B52" s="29"/>
    </row>
    <row r="53" spans="2:13" ht="18" customHeight="1" thickBot="1" x14ac:dyDescent="0.3">
      <c r="B53" s="29" t="s">
        <v>25</v>
      </c>
    </row>
    <row r="54" spans="2:13" ht="15" customHeight="1" thickBot="1" x14ac:dyDescent="0.3">
      <c r="B54" s="31"/>
      <c r="C54" s="57" t="s">
        <v>40</v>
      </c>
      <c r="D54" s="58"/>
      <c r="E54" s="59"/>
      <c r="F54" s="37" t="s">
        <v>41</v>
      </c>
      <c r="G54" s="38"/>
      <c r="H54" s="39"/>
      <c r="I54" s="37" t="s">
        <v>42</v>
      </c>
      <c r="J54" s="38"/>
      <c r="K54" s="39"/>
      <c r="L54" s="7"/>
    </row>
    <row r="55" spans="2:13" ht="15" customHeight="1" thickBot="1" x14ac:dyDescent="0.3">
      <c r="B55" s="30" t="s">
        <v>9</v>
      </c>
      <c r="C55" s="4" t="s">
        <v>11</v>
      </c>
      <c r="D55" s="4" t="s">
        <v>12</v>
      </c>
      <c r="E55" s="4" t="s">
        <v>13</v>
      </c>
      <c r="F55" s="4" t="s">
        <v>0</v>
      </c>
      <c r="G55" s="4" t="s">
        <v>1</v>
      </c>
      <c r="H55" s="4" t="s">
        <v>13</v>
      </c>
      <c r="I55" s="4" t="s">
        <v>0</v>
      </c>
      <c r="J55" s="4" t="s">
        <v>1</v>
      </c>
      <c r="K55" s="4" t="s">
        <v>13</v>
      </c>
      <c r="L55" s="8" t="s">
        <v>14</v>
      </c>
    </row>
    <row r="56" spans="2:13" ht="15" customHeight="1" thickBot="1" x14ac:dyDescent="0.3">
      <c r="B56" s="30" t="s">
        <v>30</v>
      </c>
      <c r="C56" s="10" t="e">
        <f>SUMIFS('[7]TABLO-1'!O1:O32873,'[7]TABLO-1'!H1:H32873,"=İletim",'[7]TABLO-1'!K1:K32873,"=Bildirimsiz",'[7]TABLO-1'!I1:I32873,"=Kısa",'[7]TABLO-1'!D1:D32873,"=DEMİRKÖY")/P6</f>
        <v>#DIV/0!</v>
      </c>
      <c r="D56" s="10" t="e">
        <f>SUMIFS('[7]TABLO-1'!P1:P32873,'[7]TABLO-1'!H1:H32873,"=İletim",'[7]TABLO-1'!K1:K32873,"=Bildirimsiz",'[7]TABLO-1'!I1:I32873,"=Kısa",'[7]TABLO-1'!D1:D32873,"=DEMİRKÖY")/P12</f>
        <v>#DIV/0!</v>
      </c>
      <c r="E56" s="10" t="str">
        <f>IFERROR((((C56*$P$6)+(D56*$P$12))/$P$17),"0,00")</f>
        <v>0,00</v>
      </c>
      <c r="F56" s="10">
        <f>SUMIFS('[7]TABLO-1'!Q1:Q32873,'[7]TABLO-1'!H1:H32873,"=İletim",'[7]TABLO-1'!K1:K32873,"=Bildirimsiz",'[7]TABLO-1'!I1:I32873,"=Kısa",'[7]TABLO-1'!D1:D32873,"=DEMİRKÖY")/P7</f>
        <v>0</v>
      </c>
      <c r="G56" s="10">
        <f>SUMIFS('[7]TABLO-1'!R1:R32873,'[7]TABLO-1'!H1:H32873,"=İletim",'[7]TABLO-1'!K1:K32873,"=Bildirimsiz",'[7]TABLO-1'!I1:I32873,"=Kısa",'[7]TABLO-1'!D1:D32873,"=DEMİRKÖY")/P13</f>
        <v>0</v>
      </c>
      <c r="H56" s="10">
        <f>IFERROR((((F56*$P$7)+(G56*$P$13))/$P$20),"0,00")</f>
        <v>0</v>
      </c>
      <c r="I56" s="10">
        <f>SUMIFS('[7]TABLO-1'!S1:S32873,'[7]TABLO-1'!H1:H32873,"=İletim",'[7]TABLO-1'!K1:K32873,"=Bildirimsiz",'[7]TABLO-1'!I1:I32873,"=Kısa",'[7]TABLO-1'!D1:D32873,"=DEMİRKÖY")/P8</f>
        <v>0</v>
      </c>
      <c r="J56" s="10">
        <f>SUMIFS('[7]TABLO-1'!T1:T32873,'[7]TABLO-1'!H1:H32873,"=İletim",'[7]TABLO-1'!K1:K32873,"=Bildirimsiz",'[7]TABLO-1'!I1:I32873,"=Kısa",'[7]TABLO-1'!D1:D32873,"=DEMİRKÖY")/P14</f>
        <v>0</v>
      </c>
      <c r="K56" s="10">
        <f>IFERROR((((I56*$P$8)+(J56*$P$14))/$P$23),"0,00")</f>
        <v>0</v>
      </c>
      <c r="L56" s="11">
        <f>IFERROR((((E56*$P$17)+(H56*$P$20)+(K56*$P$23))/$P$26),"0,00")</f>
        <v>0</v>
      </c>
    </row>
    <row r="57" spans="2:13" ht="15" customHeight="1" thickBot="1" x14ac:dyDescent="0.3">
      <c r="B57" s="30" t="s">
        <v>16</v>
      </c>
      <c r="C57" s="10" t="e">
        <f>SUMIFS('[7]TABLO-1'!O4:O32873,'[7]TABLO-1'!H4:H32873,"=Dağıtım-OG",'[7]TABLO-1'!K4:K32873,"=Bildirimsiz",'[7]TABLO-1'!I4:I32873,"=Kısa",'[7]TABLO-1'!D4:D32873,"=DEMİRKÖY")/P6</f>
        <v>#DIV/0!</v>
      </c>
      <c r="D57" s="10" t="e">
        <f>SUMIFS('[7]TABLO-1'!P4:P32873,'[7]TABLO-1'!H4:H32873,"=Dağıtım-OG",'[7]TABLO-1'!K4:K32873,"=Bildirimsiz",'[7]TABLO-1'!I4:I32873,"=Kısa",'[7]TABLO-1'!D4:D32873,"=DEMİRKÖY")/P12</f>
        <v>#DIV/0!</v>
      </c>
      <c r="E57" s="10" t="str">
        <f>IFERROR((((C57*$P$6)+(D57*$P$12))/$P$17),"0,00")</f>
        <v>0,00</v>
      </c>
      <c r="F57" s="10">
        <f>SUMIFS('[7]TABLO-1'!Q4:Q32873,'[7]TABLO-1'!H4:H32873,"=Dağıtım-OG",'[7]TABLO-1'!K4:K32873,"=Bildirimsiz",'[7]TABLO-1'!I4:I32873,"=Kısa",'[7]TABLO-1'!D4:D32873,"=DEMİRKÖY")/P7</f>
        <v>0.66666666666666663</v>
      </c>
      <c r="G57" s="10">
        <f>SUMIFS('[7]TABLO-1'!R4:R32873,'[7]TABLO-1'!H4:H32873,"=Dağıtım-OG",'[7]TABLO-1'!K4:K32873,"=Bildirimsiz",'[7]TABLO-1'!I4:I32873,"=Kısa",'[7]TABLO-1'!D4:D32873,"=DEMİRKÖY")/P13</f>
        <v>0.68908693458886838</v>
      </c>
      <c r="H57" s="10">
        <f>IFERROR((((F57*$P$7)+(G57*$P$13))/$P$20),"0,00")</f>
        <v>0.68894086201135984</v>
      </c>
      <c r="I57" s="10">
        <f>SUMIFS('[7]TABLO-1'!S4:S32873,'[7]TABLO-1'!H4:H32873,"=Dağıtım-OG",'[7]TABLO-1'!K4:K32873,"=Bildirimsiz",'[7]TABLO-1'!I4:I32873,"=Kısa",'[7]TABLO-1'!D4:D32873,"=DEMİRKÖY")/P8</f>
        <v>0.74603174603174605</v>
      </c>
      <c r="J57" s="10">
        <f>SUMIFS('[7]TABLO-1'!T4:T32873,'[7]TABLO-1'!H4:H32873,"=Dağıtım-OG",'[7]TABLO-1'!K4:K32873,"=Bildirimsiz",'[7]TABLO-1'!I4:I32873,"=Kısa",'[7]TABLO-1'!D4:D32873,"=DEMİRKÖY")/P14</f>
        <v>0.44126984126984126</v>
      </c>
      <c r="K57" s="10">
        <f>IFERROR((((I57*$P$8)+(J57*$P$14))/$P$23),"0,00")</f>
        <v>0.44724556489262374</v>
      </c>
      <c r="L57" s="11">
        <f>IFERROR((((E57*$P$17)+(H57*$P$20)+(K57*$P$23))/$P$26),"0,00")</f>
        <v>0.60452223067724753</v>
      </c>
    </row>
    <row r="58" spans="2:13" ht="15" customHeight="1" thickBot="1" x14ac:dyDescent="0.3">
      <c r="B58" s="30" t="s">
        <v>19</v>
      </c>
      <c r="C58" s="10" t="e">
        <f>SUMIFS('[7]TABLO-1'!O4:O32873,'[7]TABLO-1'!H4:H32873,"=Dağıtım-AG",'[7]TABLO-1'!K4:K32873,"=Bildirimsiz",'[7]TABLO-1'!I4:I32873,"=Kısa",'[7]TABLO-1'!D4:D32873,"=DEMİRKÖY")/P6</f>
        <v>#DIV/0!</v>
      </c>
      <c r="D58" s="10" t="e">
        <f>SUMIFS('[7]TABLO-1'!P4:P32873,'[7]TABLO-1'!H4:H32873,"=Dağıtım-AG",'[7]TABLO-1'!K4:K32873,"=Bildirimsiz",'[7]TABLO-1'!I4:I32873,"=Kısa",'[7]TABLO-1'!D4:D32873,"=DEMİRKÖY")/P12</f>
        <v>#DIV/0!</v>
      </c>
      <c r="E58" s="10" t="str">
        <f>IFERROR((((C58*$P$6)+(D58*$P$12))/$P$17),"0,00")</f>
        <v>0,00</v>
      </c>
      <c r="F58" s="10">
        <f>SUMIFS('[7]TABLO-1'!Q4:Q32873,'[7]TABLO-1'!H4:H32873,"=Dağıtım-AG",'[7]TABLO-1'!K4:K32873,"=Bildirimsiz",'[7]TABLO-1'!I4:I32873,"=Kısa",'[7]TABLO-1'!D4:D32873,"=DEMİRKÖY")/P7</f>
        <v>0</v>
      </c>
      <c r="G58" s="10">
        <f>SUMIFS('[7]TABLO-1'!R4:R32873,'[7]TABLO-1'!H4:H32873,"=Dağıtım-AG",'[7]TABLO-1'!K4:K32873,"=Bildirimsiz",'[7]TABLO-1'!I4:I32873,"=Kısa",'[7]TABLO-1'!D4:D32873,"=DEMİRKÖY")/P13</f>
        <v>4.7082562636623507E-3</v>
      </c>
      <c r="H58" s="10">
        <f>IFERROR((((F58*$P$7)+(G58*$P$13))/$P$20),"0,00")</f>
        <v>4.6775810223855666E-3</v>
      </c>
      <c r="I58" s="10">
        <f>SUMIFS('[7]TABLO-1'!S4:S32873,'[7]TABLO-1'!H4:H32873,"=Dağıtım-AG",'[7]TABLO-1'!K4:K32873,"=Bildirimsiz",'[7]TABLO-1'!I4:I32873,"=Kısa",'[7]TABLO-1'!D4:D32873,"=DEMİRKÖY")/P8</f>
        <v>0</v>
      </c>
      <c r="J58" s="10">
        <f>SUMIFS('[7]TABLO-1'!T4:T32873,'[7]TABLO-1'!H4:H32873,"=Dağıtım-AG",'[7]TABLO-1'!K4:K32873,"=Bildirimsiz",'[7]TABLO-1'!I4:I32873,"=Kısa",'[7]TABLO-1'!D4:D32873,"=DEMİRKÖY")/P14</f>
        <v>0</v>
      </c>
      <c r="K58" s="10">
        <f>IFERROR((((I58*$P$8)+(J58*$P$14))/$P$23),"0,00")</f>
        <v>0</v>
      </c>
      <c r="L58" s="11">
        <f>IFERROR((((E58*$P$17)+(H58*$P$20)+(K58*$P$23))/$P$26),"0,00")</f>
        <v>3.0438091096858353E-3</v>
      </c>
    </row>
    <row r="59" spans="2:13" ht="15" customHeight="1" thickBot="1" x14ac:dyDescent="0.3">
      <c r="B59" s="30" t="s">
        <v>20</v>
      </c>
      <c r="C59" s="10" t="e">
        <f t="shared" ref="C59:L59" si="20">SUM(C56:C58)</f>
        <v>#DIV/0!</v>
      </c>
      <c r="D59" s="10" t="e">
        <f t="shared" si="20"/>
        <v>#DIV/0!</v>
      </c>
      <c r="E59" s="10">
        <f t="shared" si="20"/>
        <v>0</v>
      </c>
      <c r="F59" s="10">
        <f t="shared" si="20"/>
        <v>0.66666666666666663</v>
      </c>
      <c r="G59" s="10">
        <f t="shared" si="20"/>
        <v>0.69379519085253072</v>
      </c>
      <c r="H59" s="10">
        <f t="shared" si="20"/>
        <v>0.69361844303374542</v>
      </c>
      <c r="I59" s="10">
        <f t="shared" si="20"/>
        <v>0.74603174603174605</v>
      </c>
      <c r="J59" s="10">
        <f t="shared" si="20"/>
        <v>0.44126984126984126</v>
      </c>
      <c r="K59" s="10">
        <f t="shared" si="20"/>
        <v>0.44724556489262374</v>
      </c>
      <c r="L59" s="10">
        <f t="shared" si="20"/>
        <v>0.60756603978693335</v>
      </c>
    </row>
    <row r="60" spans="2:13" ht="15" customHeight="1" x14ac:dyDescent="0.25">
      <c r="B60" s="32"/>
      <c r="C60" s="13"/>
      <c r="D60" s="13"/>
      <c r="E60" s="13"/>
      <c r="F60" s="13"/>
      <c r="G60" s="13"/>
      <c r="H60" s="13"/>
      <c r="I60" s="14"/>
      <c r="J60" s="14"/>
      <c r="K60" s="14"/>
      <c r="L60" s="14"/>
    </row>
    <row r="61" spans="2:13" ht="15" customHeight="1" thickBot="1" x14ac:dyDescent="0.3">
      <c r="B61" s="33" t="s">
        <v>31</v>
      </c>
      <c r="C61" s="28"/>
      <c r="D61" s="28"/>
      <c r="E61" s="13"/>
      <c r="F61" s="13"/>
      <c r="G61" s="13"/>
      <c r="H61" s="13"/>
      <c r="I61" s="14"/>
      <c r="J61" s="14"/>
      <c r="K61" s="14"/>
      <c r="L61" s="14"/>
    </row>
    <row r="62" spans="2:13" ht="15" customHeight="1" x14ac:dyDescent="0.25">
      <c r="B62" s="34"/>
      <c r="C62" s="22" t="s">
        <v>33</v>
      </c>
      <c r="D62" s="23"/>
      <c r="E62" s="24"/>
      <c r="F62" s="22" t="s">
        <v>34</v>
      </c>
      <c r="G62" s="23"/>
      <c r="H62" s="24"/>
      <c r="I62" s="22" t="s">
        <v>36</v>
      </c>
      <c r="J62" s="23"/>
      <c r="K62" s="24"/>
      <c r="L62" s="24"/>
    </row>
    <row r="63" spans="2:13" ht="15" customHeight="1" thickBot="1" x14ac:dyDescent="0.3">
      <c r="B63" s="35"/>
      <c r="C63" s="25" t="s">
        <v>43</v>
      </c>
      <c r="D63" s="26"/>
      <c r="E63" s="27"/>
      <c r="F63" s="25" t="s">
        <v>43</v>
      </c>
      <c r="G63" s="26"/>
      <c r="H63" s="27"/>
      <c r="I63" s="25" t="s">
        <v>43</v>
      </c>
      <c r="J63" s="26"/>
      <c r="K63" s="27"/>
      <c r="L63" s="15" t="s">
        <v>14</v>
      </c>
    </row>
    <row r="64" spans="2:13" ht="15" customHeight="1" thickBot="1" x14ac:dyDescent="0.3">
      <c r="B64" s="35"/>
      <c r="C64" s="27" t="s">
        <v>11</v>
      </c>
      <c r="D64" s="27" t="s">
        <v>12</v>
      </c>
      <c r="E64" s="27" t="s">
        <v>13</v>
      </c>
      <c r="F64" s="27" t="s">
        <v>0</v>
      </c>
      <c r="G64" s="27" t="s">
        <v>1</v>
      </c>
      <c r="H64" s="27" t="s">
        <v>13</v>
      </c>
      <c r="I64" s="27" t="s">
        <v>0</v>
      </c>
      <c r="J64" s="27" t="s">
        <v>1</v>
      </c>
      <c r="K64" s="27" t="s">
        <v>13</v>
      </c>
      <c r="L64" s="16"/>
    </row>
    <row r="65" spans="2:12" ht="15" customHeight="1" thickBot="1" x14ac:dyDescent="0.3">
      <c r="B65" s="35" t="s">
        <v>32</v>
      </c>
      <c r="C65" s="27">
        <f>P6</f>
        <v>0</v>
      </c>
      <c r="D65" s="27">
        <f>P12</f>
        <v>0</v>
      </c>
      <c r="E65" s="27">
        <f>C65+D65</f>
        <v>0</v>
      </c>
      <c r="F65" s="17">
        <f>P7</f>
        <v>39</v>
      </c>
      <c r="G65" s="27">
        <f>P13</f>
        <v>5947</v>
      </c>
      <c r="H65" s="17">
        <f>SUM(F65:G65)</f>
        <v>5986</v>
      </c>
      <c r="I65" s="17">
        <f>P8</f>
        <v>63</v>
      </c>
      <c r="J65" s="27">
        <f>P14</f>
        <v>3150</v>
      </c>
      <c r="K65" s="17">
        <f>SUM(I65:J65)</f>
        <v>3213</v>
      </c>
      <c r="L65" s="17">
        <f>H65+E65+K65</f>
        <v>9199</v>
      </c>
    </row>
    <row r="66" spans="2:12" ht="15" customHeight="1" x14ac:dyDescent="0.25">
      <c r="B66" s="32"/>
      <c r="C66" s="13"/>
      <c r="D66" s="13"/>
      <c r="E66" s="13"/>
      <c r="F66" s="13"/>
      <c r="G66" s="13"/>
      <c r="H66" s="13"/>
      <c r="I66" s="14"/>
      <c r="J66" s="14"/>
      <c r="K66" s="14"/>
      <c r="L66" s="14"/>
    </row>
    <row r="67" spans="2:12" ht="24.75" customHeight="1" x14ac:dyDescent="0.25">
      <c r="B67" s="29" t="s">
        <v>26</v>
      </c>
    </row>
    <row r="68" spans="2:12" ht="21" customHeight="1" x14ac:dyDescent="0.25">
      <c r="B68" s="62" t="s">
        <v>27</v>
      </c>
      <c r="C68" s="62"/>
      <c r="D68" s="62"/>
      <c r="E68" s="62"/>
      <c r="F68" s="62"/>
      <c r="G68" s="62"/>
      <c r="H68" s="62"/>
      <c r="I68" s="62"/>
      <c r="J68" s="18"/>
      <c r="K68" s="18"/>
      <c r="L68" s="18"/>
    </row>
    <row r="69" spans="2:12" ht="15.75" x14ac:dyDescent="0.25">
      <c r="B69" s="63" t="s">
        <v>28</v>
      </c>
      <c r="C69" s="63"/>
      <c r="D69" s="63"/>
      <c r="E69" s="63"/>
      <c r="F69" s="63"/>
      <c r="G69" s="63"/>
      <c r="H69" s="63"/>
      <c r="I69" s="63"/>
      <c r="J69" s="19"/>
      <c r="K69" s="19"/>
      <c r="L69" s="19"/>
    </row>
    <row r="70" spans="2:12" ht="15.75" customHeight="1" x14ac:dyDescent="0.25">
      <c r="B70" s="62" t="s">
        <v>29</v>
      </c>
      <c r="C70" s="62"/>
      <c r="D70" s="62"/>
      <c r="E70" s="62"/>
      <c r="F70" s="62"/>
      <c r="G70" s="62"/>
      <c r="H70" s="62"/>
      <c r="I70" s="62"/>
      <c r="J70" s="18"/>
      <c r="K70" s="18"/>
      <c r="L70" s="18"/>
    </row>
    <row r="71" spans="2:12" ht="15.75" x14ac:dyDescent="0.25">
      <c r="B71" s="62"/>
      <c r="C71" s="62"/>
      <c r="D71" s="62"/>
      <c r="E71" s="62"/>
      <c r="F71" s="62"/>
      <c r="G71" s="62"/>
      <c r="H71" s="62"/>
      <c r="I71" s="62"/>
      <c r="J71" s="18"/>
      <c r="K71" s="18"/>
      <c r="L71" s="18"/>
    </row>
  </sheetData>
  <mergeCells count="45">
    <mergeCell ref="P12:Q12"/>
    <mergeCell ref="B2:M2"/>
    <mergeCell ref="B4:C4"/>
    <mergeCell ref="D4:F4"/>
    <mergeCell ref="G4:I4"/>
    <mergeCell ref="J4:L4"/>
    <mergeCell ref="P5:Q5"/>
    <mergeCell ref="P6:Q6"/>
    <mergeCell ref="P7:Q7"/>
    <mergeCell ref="P8:Q8"/>
    <mergeCell ref="P9:Q9"/>
    <mergeCell ref="P11:Q11"/>
    <mergeCell ref="P13:Q13"/>
    <mergeCell ref="P14:Q14"/>
    <mergeCell ref="P15:Q15"/>
    <mergeCell ref="B16:C16"/>
    <mergeCell ref="O17:O19"/>
    <mergeCell ref="P17:P19"/>
    <mergeCell ref="B19:C19"/>
    <mergeCell ref="D19:F19"/>
    <mergeCell ref="G19:I19"/>
    <mergeCell ref="J19:L19"/>
    <mergeCell ref="O20:O22"/>
    <mergeCell ref="P20:P22"/>
    <mergeCell ref="O23:O25"/>
    <mergeCell ref="P23:P25"/>
    <mergeCell ref="B26:C26"/>
    <mergeCell ref="O26:O29"/>
    <mergeCell ref="P26:P29"/>
    <mergeCell ref="B29:C29"/>
    <mergeCell ref="D29:F29"/>
    <mergeCell ref="G29:I29"/>
    <mergeCell ref="J29:L29"/>
    <mergeCell ref="B41:C41"/>
    <mergeCell ref="B44:C44"/>
    <mergeCell ref="D44:F44"/>
    <mergeCell ref="G44:I44"/>
    <mergeCell ref="J44:L44"/>
    <mergeCell ref="B70:I71"/>
    <mergeCell ref="B51:C51"/>
    <mergeCell ref="C54:E54"/>
    <mergeCell ref="F54:H54"/>
    <mergeCell ref="I54:K54"/>
    <mergeCell ref="B68:I68"/>
    <mergeCell ref="B69:I69"/>
  </mergeCell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KIRKLARELİ</vt:lpstr>
      <vt:lpstr>TEKİRDAĞ</vt:lpstr>
      <vt:lpstr>VİZE</vt:lpstr>
      <vt:lpstr>KIRKLARELİ MERKEZ</vt:lpstr>
      <vt:lpstr>KOFÇAZ</vt:lpstr>
      <vt:lpstr>PINARHİSAR</vt:lpstr>
      <vt:lpstr>DEMİRKÖY</vt:lpstr>
      <vt:lpstr>BABAESKİ</vt:lpstr>
      <vt:lpstr>PEHLİVANKÖY</vt:lpstr>
      <vt:lpstr>LÜLEBURGAZ</vt:lpstr>
      <vt:lpstr>EDİRNE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MERİÇ</vt:lpstr>
      <vt:lpstr>SÜLEYMANPAŞA</vt:lpstr>
      <vt:lpstr>MURATLI</vt:lpstr>
      <vt:lpstr>ÇORLU</vt:lpstr>
      <vt:lpstr>ÇERKEZKÖY</vt:lpstr>
      <vt:lpstr>SARAY</vt:lpstr>
      <vt:lpstr>HAYRABOLU</vt:lpstr>
      <vt:lpstr>MARMARAEREĞLİSİ</vt:lpstr>
      <vt:lpstr>ŞARKÖY</vt:lpstr>
      <vt:lpstr>MALKARA</vt:lpstr>
      <vt:lpstr>KAPAKLI</vt:lpstr>
      <vt:lpstr>ERGENE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Arda Çamdere</cp:lastModifiedBy>
  <dcterms:created xsi:type="dcterms:W3CDTF">2015-04-02T14:27:13Z</dcterms:created>
  <dcterms:modified xsi:type="dcterms:W3CDTF">2024-07-02T12:55:37Z</dcterms:modified>
</cp:coreProperties>
</file>